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Documents\LCC\Appalachian LCC\AppLCC Project\Phase III webify\spreadsheet subsets\"/>
    </mc:Choice>
  </mc:AlternateContent>
  <bookViews>
    <workbookView xWindow="0" yWindow="0" windowWidth="19200" windowHeight="12180"/>
  </bookViews>
  <sheets>
    <sheet name="Assessments" sheetId="1" r:id="rId1"/>
    <sheet name="MAPS" sheetId="2" r:id="rId2"/>
    <sheet name="Instructions" sheetId="3" r:id="rId3"/>
    <sheet name="References" sheetId="4" r:id="rId4"/>
  </sheets>
  <definedNames>
    <definedName name="_xlnm._FilterDatabase" localSheetId="0" hidden="1">Assessments!$A$3:$U$392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 i="4" l="1"/>
  <c r="K4" i="1" l="1"/>
  <c r="K392" i="1"/>
  <c r="K390" i="1"/>
  <c r="K389" i="1"/>
  <c r="K387" i="1"/>
  <c r="K386" i="1"/>
  <c r="K385" i="1"/>
  <c r="K384" i="1"/>
  <c r="K382" i="1"/>
  <c r="K380" i="1"/>
  <c r="K367" i="1"/>
  <c r="K365" i="1"/>
  <c r="K364" i="1"/>
  <c r="K362" i="1"/>
  <c r="K354" i="1"/>
  <c r="K349" i="1"/>
  <c r="K348" i="1"/>
  <c r="K345" i="1"/>
  <c r="K344" i="1"/>
  <c r="K342" i="1"/>
  <c r="K341" i="1"/>
  <c r="K338" i="1"/>
  <c r="K337" i="1"/>
  <c r="K336" i="1"/>
  <c r="K335" i="1"/>
  <c r="K334" i="1"/>
  <c r="K333" i="1"/>
  <c r="K326" i="1"/>
  <c r="K325" i="1"/>
  <c r="K324" i="1"/>
  <c r="K322" i="1"/>
  <c r="K321" i="1"/>
  <c r="K320" i="1"/>
  <c r="K319" i="1"/>
  <c r="K318" i="1"/>
  <c r="K317" i="1"/>
  <c r="K316" i="1"/>
  <c r="K315" i="1"/>
  <c r="K314" i="1"/>
  <c r="K311" i="1"/>
  <c r="K297" i="1"/>
  <c r="K296" i="1"/>
  <c r="K294" i="1"/>
  <c r="K293" i="1"/>
  <c r="K291" i="1"/>
  <c r="K288" i="1"/>
  <c r="K287" i="1"/>
  <c r="K286" i="1"/>
  <c r="K284" i="1"/>
  <c r="K283" i="1"/>
  <c r="K276" i="1"/>
  <c r="K275" i="1"/>
  <c r="K272" i="1"/>
  <c r="K271" i="1"/>
  <c r="K270" i="1"/>
  <c r="K269" i="1"/>
  <c r="K268" i="1"/>
  <c r="K267" i="1"/>
  <c r="K266" i="1"/>
  <c r="K265" i="1"/>
  <c r="K261" i="1"/>
  <c r="K260" i="1"/>
  <c r="K252" i="1"/>
  <c r="K247" i="1"/>
  <c r="K246" i="1"/>
  <c r="K244" i="1"/>
  <c r="K243" i="1"/>
  <c r="K241" i="1"/>
  <c r="K240" i="1"/>
  <c r="K238" i="1"/>
  <c r="K237" i="1"/>
  <c r="K236" i="1"/>
  <c r="K234" i="1"/>
  <c r="K229" i="1"/>
  <c r="K228" i="1"/>
  <c r="K226" i="1"/>
  <c r="K225" i="1"/>
  <c r="K223" i="1"/>
  <c r="K222" i="1"/>
  <c r="K221" i="1"/>
  <c r="K218" i="1"/>
  <c r="K217" i="1"/>
  <c r="K216" i="1"/>
  <c r="K215" i="1"/>
  <c r="K214" i="1"/>
  <c r="K209" i="1"/>
  <c r="K208" i="1"/>
  <c r="K206" i="1"/>
  <c r="K205" i="1"/>
  <c r="K200" i="1"/>
  <c r="K198" i="1"/>
  <c r="K195" i="1"/>
  <c r="K193" i="1"/>
  <c r="K190" i="1"/>
  <c r="K189" i="1"/>
  <c r="K188" i="1"/>
  <c r="K186" i="1"/>
  <c r="K185" i="1"/>
  <c r="K184" i="1"/>
  <c r="K182" i="1"/>
  <c r="K176" i="1"/>
  <c r="K175" i="1"/>
  <c r="K174" i="1"/>
  <c r="K173" i="1"/>
  <c r="K172" i="1"/>
  <c r="K171" i="1"/>
  <c r="K158" i="1"/>
  <c r="K157" i="1"/>
  <c r="K156" i="1"/>
  <c r="K154" i="1"/>
  <c r="K152" i="1"/>
  <c r="K150" i="1"/>
  <c r="K149" i="1"/>
  <c r="K148" i="1"/>
  <c r="K146" i="1"/>
  <c r="K143" i="1"/>
  <c r="K142" i="1"/>
  <c r="K139" i="1"/>
  <c r="K137" i="1"/>
  <c r="K136" i="1"/>
  <c r="K135" i="1"/>
  <c r="K134" i="1"/>
  <c r="K130" i="1"/>
  <c r="K129" i="1"/>
  <c r="K128" i="1"/>
  <c r="K122" i="1"/>
  <c r="K121" i="1"/>
  <c r="K116" i="1"/>
  <c r="K114" i="1"/>
  <c r="K113" i="1"/>
  <c r="K112" i="1"/>
  <c r="K111" i="1"/>
  <c r="K108" i="1"/>
  <c r="K105" i="1"/>
  <c r="K103" i="1"/>
  <c r="K101" i="1"/>
  <c r="K100" i="1"/>
  <c r="K99" i="1"/>
  <c r="K98" i="1"/>
  <c r="K96" i="1"/>
  <c r="K95" i="1"/>
  <c r="K93" i="1"/>
  <c r="K92" i="1"/>
  <c r="K90" i="1"/>
  <c r="K89" i="1"/>
  <c r="K86" i="1"/>
  <c r="K83" i="1"/>
  <c r="K82" i="1"/>
  <c r="K80" i="1"/>
  <c r="K73" i="1"/>
  <c r="K68" i="1"/>
  <c r="K56" i="1"/>
  <c r="K53" i="1"/>
  <c r="K52" i="1"/>
  <c r="K51" i="1"/>
  <c r="K47" i="1"/>
  <c r="K40" i="1"/>
  <c r="K37" i="1"/>
  <c r="K35" i="1"/>
  <c r="K34" i="1"/>
  <c r="K32" i="1"/>
  <c r="K31" i="1"/>
  <c r="K30" i="1"/>
  <c r="K29" i="1"/>
  <c r="K27" i="1"/>
  <c r="K26" i="1"/>
  <c r="K24" i="1"/>
  <c r="K23" i="1"/>
  <c r="K18" i="1"/>
  <c r="K16" i="1"/>
  <c r="K15" i="1"/>
  <c r="K14" i="1"/>
  <c r="K12" i="1"/>
  <c r="K11" i="1"/>
  <c r="K9" i="1"/>
  <c r="K8" i="1"/>
  <c r="K7" i="1"/>
  <c r="K6" i="1"/>
  <c r="K5" i="1"/>
  <c r="A21" i="4"/>
  <c r="A24" i="4"/>
</calcChain>
</file>

<file path=xl/sharedStrings.xml><?xml version="1.0" encoding="utf-8"?>
<sst xmlns="http://schemas.openxmlformats.org/spreadsheetml/2006/main" count="6092" uniqueCount="1487">
  <si>
    <t>Kingdom</t>
  </si>
  <si>
    <t>Phylum</t>
  </si>
  <si>
    <t>Class</t>
  </si>
  <si>
    <t>Order</t>
  </si>
  <si>
    <t>Family</t>
  </si>
  <si>
    <t>Species Scientific Name</t>
  </si>
  <si>
    <t>Common Name</t>
  </si>
  <si>
    <t>Animalia</t>
  </si>
  <si>
    <t>Mandibulata</t>
  </si>
  <si>
    <t>Insecta</t>
  </si>
  <si>
    <t>Coleoptera</t>
  </si>
  <si>
    <t>Carabidae</t>
  </si>
  <si>
    <t>Insects</t>
  </si>
  <si>
    <t>Subterranean</t>
  </si>
  <si>
    <t>A Cave Beetle</t>
  </si>
  <si>
    <t>G1</t>
  </si>
  <si>
    <t>PS</t>
  </si>
  <si>
    <t>Chelicerata</t>
  </si>
  <si>
    <t>Arachnida</t>
  </si>
  <si>
    <t>Araneae</t>
  </si>
  <si>
    <t>Linyphiidae</t>
  </si>
  <si>
    <t>Other Invertebrates</t>
  </si>
  <si>
    <t>A Cave Spider</t>
  </si>
  <si>
    <t>Elliplura</t>
  </si>
  <si>
    <t>Collembola</t>
  </si>
  <si>
    <t>Arrhopalitidae</t>
  </si>
  <si>
    <t>A Collembola</t>
  </si>
  <si>
    <t>Diplura</t>
  </si>
  <si>
    <t>Campodeidae</t>
  </si>
  <si>
    <t>A Diplurian</t>
  </si>
  <si>
    <t>Ephemeroptera</t>
  </si>
  <si>
    <t>Heptageniidae</t>
  </si>
  <si>
    <t>Terrestrial</t>
  </si>
  <si>
    <t>Heptagenia culacantha</t>
  </si>
  <si>
    <t>A Mayfly</t>
  </si>
  <si>
    <t>G2G3</t>
  </si>
  <si>
    <t>Platyhelminthes</t>
  </si>
  <si>
    <t>Turbellaria</t>
  </si>
  <si>
    <t>Tricladida</t>
  </si>
  <si>
    <t>Planariidae</t>
  </si>
  <si>
    <t>Phagocata angusta</t>
  </si>
  <si>
    <t>A Planarian</t>
  </si>
  <si>
    <t>Hahniidae</t>
  </si>
  <si>
    <t>Calymmaria virginica</t>
  </si>
  <si>
    <t>A Spider</t>
  </si>
  <si>
    <t>Theridiidae</t>
  </si>
  <si>
    <t>Chrosiothes jenningsi</t>
  </si>
  <si>
    <t xml:space="preserve">G1 </t>
  </si>
  <si>
    <t>Plecoptera</t>
  </si>
  <si>
    <t>Pteronarcyidae</t>
  </si>
  <si>
    <t>Pteronarcys comstocki</t>
  </si>
  <si>
    <t>A stonefly: Spiny Salmonfly</t>
  </si>
  <si>
    <t>G3</t>
  </si>
  <si>
    <t>MV</t>
  </si>
  <si>
    <t>HV</t>
  </si>
  <si>
    <t>Craniata</t>
  </si>
  <si>
    <t>Aves</t>
  </si>
  <si>
    <t>Passeriformes</t>
  </si>
  <si>
    <t>Tyrannidae</t>
  </si>
  <si>
    <t>Birds</t>
  </si>
  <si>
    <t>Empidonax alnorum</t>
  </si>
  <si>
    <t>Alder Flycatcher</t>
  </si>
  <si>
    <t>G5</t>
  </si>
  <si>
    <t>Molluska</t>
  </si>
  <si>
    <t>Bivalvia</t>
  </si>
  <si>
    <t>Unionoida</t>
  </si>
  <si>
    <t>Unionidae</t>
  </si>
  <si>
    <t>Mussels</t>
  </si>
  <si>
    <t>Aquatic</t>
  </si>
  <si>
    <t>Anodonta implicata</t>
  </si>
  <si>
    <t>Alewife Floater</t>
  </si>
  <si>
    <t>Malacostraca</t>
  </si>
  <si>
    <t>Decapoda</t>
  </si>
  <si>
    <t>Cambaridae</t>
  </si>
  <si>
    <t>Orconectes obscurus</t>
  </si>
  <si>
    <t>Allegheny Crayfish</t>
  </si>
  <si>
    <t>Mammalia</t>
  </si>
  <si>
    <t>Rodentia</t>
  </si>
  <si>
    <t>Cricetidae</t>
  </si>
  <si>
    <t>Mammals</t>
  </si>
  <si>
    <t>Neotoma magister</t>
  </si>
  <si>
    <t>Allegheny Woodrat</t>
  </si>
  <si>
    <t>G3G4</t>
  </si>
  <si>
    <t>Actinopterygii</t>
  </si>
  <si>
    <t>Anguilliformes</t>
  </si>
  <si>
    <t>Anguillidae</t>
  </si>
  <si>
    <t>Fishes</t>
  </si>
  <si>
    <t>Anguilla rostrata</t>
  </si>
  <si>
    <t>American Eel</t>
  </si>
  <si>
    <t>G4</t>
  </si>
  <si>
    <t>Carnivora</t>
  </si>
  <si>
    <t>Mustelidae</t>
  </si>
  <si>
    <t>Martes americana</t>
  </si>
  <si>
    <t>American marten</t>
  </si>
  <si>
    <t>Clupeiformes</t>
  </si>
  <si>
    <t>Clupeidae</t>
  </si>
  <si>
    <t>Alosa sapidissima</t>
  </si>
  <si>
    <t>American Shad</t>
  </si>
  <si>
    <t>Piciformes</t>
  </si>
  <si>
    <t>Picidae</t>
  </si>
  <si>
    <t>Picoides dorsalis</t>
  </si>
  <si>
    <t>Charadriiformes</t>
  </si>
  <si>
    <t>Scolopacidae</t>
  </si>
  <si>
    <t>Scolopax minor</t>
  </si>
  <si>
    <t>American Woodcock</t>
  </si>
  <si>
    <t>Plantae</t>
  </si>
  <si>
    <t>Bryophyta</t>
  </si>
  <si>
    <t>Bryopsida</t>
  </si>
  <si>
    <t>Pottiales</t>
  </si>
  <si>
    <t>Pottiaceae</t>
  </si>
  <si>
    <t>Mosses</t>
  </si>
  <si>
    <t>Ammon's Tortula</t>
  </si>
  <si>
    <t>Crustacea</t>
  </si>
  <si>
    <t>Amphipoda</t>
  </si>
  <si>
    <t>Crangonyctidae</t>
  </si>
  <si>
    <t>An Amphipod</t>
  </si>
  <si>
    <t>G2</t>
  </si>
  <si>
    <t>Isopoda</t>
  </si>
  <si>
    <t>Asellidae</t>
  </si>
  <si>
    <t>Caecidotea kenki</t>
  </si>
  <si>
    <t>An Isopod</t>
  </si>
  <si>
    <t>Annelida</t>
  </si>
  <si>
    <t>Oligochaeta</t>
  </si>
  <si>
    <t>Haplotaxida</t>
  </si>
  <si>
    <t>Haplotaxidae</t>
  </si>
  <si>
    <t>Haplotaxis brinkhursti</t>
  </si>
  <si>
    <t>An Oligochaete</t>
  </si>
  <si>
    <t>G1Q</t>
  </si>
  <si>
    <t>Cambarus angularis cf.</t>
  </si>
  <si>
    <t>Angulated Crayfish cf.</t>
  </si>
  <si>
    <t>Lagomorpha</t>
  </si>
  <si>
    <t>Leporidae</t>
  </si>
  <si>
    <t>Sylvilagus obscurus</t>
  </si>
  <si>
    <t>Appalachian Cottontail</t>
  </si>
  <si>
    <t>Lycophyta</t>
  </si>
  <si>
    <t>Lycopodiopsida</t>
  </si>
  <si>
    <t>Lycopodiales</t>
  </si>
  <si>
    <t>Lycopodiaceae</t>
  </si>
  <si>
    <t>Ferns and Fern Allies</t>
  </si>
  <si>
    <t>Huperzia appalachiana</t>
  </si>
  <si>
    <t>EV</t>
  </si>
  <si>
    <t>Lepidoptera</t>
  </si>
  <si>
    <t>Hesperiidae</t>
  </si>
  <si>
    <t>Pyrgus wyandot</t>
  </si>
  <si>
    <t>Appalachian Grizzled Skipper</t>
  </si>
  <si>
    <t>G1G2Q</t>
  </si>
  <si>
    <t>Cicindelidae</t>
  </si>
  <si>
    <t>Cicindela ancocisconensis</t>
  </si>
  <si>
    <t>Chloroperlidae</t>
  </si>
  <si>
    <t>Alloperla aracoma</t>
  </si>
  <si>
    <t>Aracoma Sallfly</t>
  </si>
  <si>
    <t xml:space="preserve"> </t>
  </si>
  <si>
    <t>Cambarus longulus</t>
  </si>
  <si>
    <t>Atlantic Slope Crayfish</t>
  </si>
  <si>
    <t>Emberizidae</t>
  </si>
  <si>
    <t>Bachman's Sparrow</t>
  </si>
  <si>
    <t>Coniferophyta</t>
  </si>
  <si>
    <t>Pinopsida</t>
  </si>
  <si>
    <t>Pinales</t>
  </si>
  <si>
    <t>Pinaceae</t>
  </si>
  <si>
    <t>Trees</t>
  </si>
  <si>
    <t>Abies balsamea</t>
  </si>
  <si>
    <t>Balsam fir</t>
  </si>
  <si>
    <t>(EV)</t>
  </si>
  <si>
    <t>Perciformes</t>
  </si>
  <si>
    <t>Centrarchidae</t>
  </si>
  <si>
    <t>Enneacanthus obesus</t>
  </si>
  <si>
    <t>Banded Sunfish</t>
  </si>
  <si>
    <t>Amphibia</t>
  </si>
  <si>
    <t>Anura</t>
  </si>
  <si>
    <t>Hylidae</t>
  </si>
  <si>
    <t>Herptiles</t>
  </si>
  <si>
    <t>Strigiformes</t>
  </si>
  <si>
    <t>Tytonidae</t>
  </si>
  <si>
    <t>Tyto alba</t>
  </si>
  <si>
    <t>Barn Owl</t>
  </si>
  <si>
    <t>IL</t>
  </si>
  <si>
    <t>Gastropoda</t>
  </si>
  <si>
    <t>Stylommatophora</t>
  </si>
  <si>
    <t>Polygyridae</t>
  </si>
  <si>
    <t>Stenotrema simile</t>
  </si>
  <si>
    <t>Bear Creek Slitmouth Snail</t>
  </si>
  <si>
    <t>Nemouridae</t>
  </si>
  <si>
    <t>Ostrocerca prolongata</t>
  </si>
  <si>
    <t>Bent Forestfly</t>
  </si>
  <si>
    <t>Anthophyta</t>
  </si>
  <si>
    <t>Monocotyledoneae</t>
  </si>
  <si>
    <t>Orchidales</t>
  </si>
  <si>
    <t>Orchidaceae</t>
  </si>
  <si>
    <t>Forbs</t>
  </si>
  <si>
    <t>Corallorhiza bentleyi</t>
  </si>
  <si>
    <t>Bentley's Coralroot</t>
  </si>
  <si>
    <t>G1G2</t>
  </si>
  <si>
    <t>Turdidae</t>
  </si>
  <si>
    <t>Catharus bicknelli</t>
  </si>
  <si>
    <t>Bicknell's thrush</t>
  </si>
  <si>
    <t>Cambarus robustus</t>
  </si>
  <si>
    <t>Big River Crayfish</t>
  </si>
  <si>
    <t>Cambarus veteranus</t>
  </si>
  <si>
    <t>Big Sandy Crayfish</t>
  </si>
  <si>
    <t>Dicotyledoneae</t>
  </si>
  <si>
    <t>Rosales</t>
  </si>
  <si>
    <t>Rosaceae</t>
  </si>
  <si>
    <t>Prunus serotina</t>
  </si>
  <si>
    <t>Black Cherry</t>
  </si>
  <si>
    <t>Euphyes conspicua</t>
  </si>
  <si>
    <t>Black Dash</t>
  </si>
  <si>
    <t>Odonata</t>
  </si>
  <si>
    <t>Libellulidae</t>
  </si>
  <si>
    <t>Sympetrum danae</t>
  </si>
  <si>
    <t>Black Meadowhawk</t>
  </si>
  <si>
    <t>Gruiformes</t>
  </si>
  <si>
    <t>Rallidae</t>
  </si>
  <si>
    <t>Cypriniformes</t>
  </si>
  <si>
    <t>Catostomidae</t>
  </si>
  <si>
    <t>Moxostoma duquesnei</t>
  </si>
  <si>
    <t>Black Redhorse</t>
  </si>
  <si>
    <t>Ligumia recta</t>
  </si>
  <si>
    <t>Black Sandshell</t>
  </si>
  <si>
    <t>Picea mariana</t>
  </si>
  <si>
    <t>Laridae</t>
  </si>
  <si>
    <t>Chlidonias niger</t>
  </si>
  <si>
    <t>Black Tern</t>
  </si>
  <si>
    <t>Picoides arcticus</t>
  </si>
  <si>
    <t>Cornales</t>
  </si>
  <si>
    <t>Nyssaceae</t>
  </si>
  <si>
    <t>Nyssa sylvatica</t>
  </si>
  <si>
    <t>Blackgum</t>
  </si>
  <si>
    <t>Chelonia</t>
  </si>
  <si>
    <t>Cryptodeira</t>
  </si>
  <si>
    <t>Emydidae</t>
  </si>
  <si>
    <t>Blue Crawfish</t>
  </si>
  <si>
    <t>G3G5</t>
  </si>
  <si>
    <t>Scorpaeniformes</t>
  </si>
  <si>
    <t>Cottidae</t>
  </si>
  <si>
    <t>Bluestone Sculpin</t>
  </si>
  <si>
    <t>Parulidae</t>
  </si>
  <si>
    <t>Vermivora cyanoptera</t>
  </si>
  <si>
    <t>Blue-winged warbler</t>
  </si>
  <si>
    <t>Icteridae</t>
  </si>
  <si>
    <t>Dolichonyx oryzivorus</t>
  </si>
  <si>
    <t>Bobolink</t>
  </si>
  <si>
    <t>Lycaenidae</t>
  </si>
  <si>
    <t>Lycaena epixanthe</t>
  </si>
  <si>
    <t>Bog Copper</t>
  </si>
  <si>
    <t>G4G5</t>
  </si>
  <si>
    <t>Asterales</t>
  </si>
  <si>
    <t>Asteraceae</t>
  </si>
  <si>
    <t>Solidago uliginosa</t>
  </si>
  <si>
    <t>Bog goldenrod</t>
  </si>
  <si>
    <t>Ericales</t>
  </si>
  <si>
    <t>Ericaceae</t>
  </si>
  <si>
    <t>Shrubs</t>
  </si>
  <si>
    <t>Kalmia polifolia</t>
  </si>
  <si>
    <t>Bog laurel</t>
  </si>
  <si>
    <t>Cyperales</t>
  </si>
  <si>
    <t>Cyperaceae</t>
  </si>
  <si>
    <t>Graminoids</t>
  </si>
  <si>
    <t>Bog sedge</t>
  </si>
  <si>
    <t>Glyptemys muhlenbergii</t>
  </si>
  <si>
    <t>Bog Turtle</t>
  </si>
  <si>
    <t>Saturniidae</t>
  </si>
  <si>
    <t>Bogbean Buckmoth</t>
  </si>
  <si>
    <t>Andromeda polifolia</t>
  </si>
  <si>
    <t>Bog-rosemary</t>
  </si>
  <si>
    <t>Paridae</t>
  </si>
  <si>
    <t>Poecile hudsonicus</t>
  </si>
  <si>
    <t>Boreal chickadee</t>
  </si>
  <si>
    <t>Pseudacris maculata</t>
  </si>
  <si>
    <t>Boreal chorus frog</t>
  </si>
  <si>
    <t>Alasmidonta varicosa</t>
  </si>
  <si>
    <t>Brook Floater</t>
  </si>
  <si>
    <t>Salmoniformes</t>
  </si>
  <si>
    <t>Salmonidae</t>
  </si>
  <si>
    <t>Salvelinus fontinalis</t>
  </si>
  <si>
    <t>Brook Trout</t>
  </si>
  <si>
    <t>Cornaceae</t>
  </si>
  <si>
    <t>Cornus canadensis</t>
  </si>
  <si>
    <t>Bunchberry</t>
  </si>
  <si>
    <t>Gadiformes</t>
  </si>
  <si>
    <t>Gadidae</t>
  </si>
  <si>
    <t>Lota lota</t>
  </si>
  <si>
    <t>Burbot</t>
  </si>
  <si>
    <t>Triodopsis rugosa</t>
  </si>
  <si>
    <t>Buttress Threetooth</t>
  </si>
  <si>
    <t>Celastrales</t>
  </si>
  <si>
    <t>Celastraceae</t>
  </si>
  <si>
    <t>Paxistima canbyi</t>
  </si>
  <si>
    <t>Canby's Mountain-lover</t>
  </si>
  <si>
    <t>Percidae</t>
  </si>
  <si>
    <t>Etheostoma osburni</t>
  </si>
  <si>
    <t>Candy Darter</t>
  </si>
  <si>
    <t>Sciuridae</t>
  </si>
  <si>
    <t>Glaucomys sabrinus coloratus</t>
  </si>
  <si>
    <t>Carolina Northern Flying Squirrel</t>
  </si>
  <si>
    <t>G5T2</t>
  </si>
  <si>
    <t>Islandiana speophila</t>
  </si>
  <si>
    <t>Cavern Sheet-web Spider</t>
  </si>
  <si>
    <t>Diplopoda</t>
  </si>
  <si>
    <t>Polydesmida</t>
  </si>
  <si>
    <t>Xystodesmidae</t>
  </si>
  <si>
    <t>Brachoria cedra</t>
  </si>
  <si>
    <t>Cedar millipede</t>
  </si>
  <si>
    <t>Cerulean warbler</t>
  </si>
  <si>
    <t>Caudata</t>
  </si>
  <si>
    <t>Plethodontidae</t>
  </si>
  <si>
    <t>Plethodon nettingi</t>
  </si>
  <si>
    <t>Cheat Mountain Salamander</t>
  </si>
  <si>
    <t>Checkered Sculpin</t>
  </si>
  <si>
    <t>G1?</t>
  </si>
  <si>
    <t>Fagales</t>
  </si>
  <si>
    <t>Fagaceae</t>
  </si>
  <si>
    <t>Quercus prinus</t>
  </si>
  <si>
    <t>Chestnut Oak</t>
  </si>
  <si>
    <t>Succineidae</t>
  </si>
  <si>
    <t>Novisuccinea chittenangoensis</t>
  </si>
  <si>
    <t>Chittenango ovate amber snail</t>
  </si>
  <si>
    <t>Caprimulgiformes</t>
  </si>
  <si>
    <t>Caprimulgidae</t>
  </si>
  <si>
    <t>Chuck-will's widow</t>
  </si>
  <si>
    <t>Coregonus artedi</t>
  </si>
  <si>
    <t>Cisco or Lake Herring</t>
  </si>
  <si>
    <t>Rallus longirostris</t>
  </si>
  <si>
    <t>Clapper Rail</t>
  </si>
  <si>
    <t>Pleurobema clava</t>
  </si>
  <si>
    <t>Clubshell</t>
  </si>
  <si>
    <t>Reptilia</t>
  </si>
  <si>
    <t>Squamata</t>
  </si>
  <si>
    <t>Scincidae</t>
  </si>
  <si>
    <t>Coal Skink</t>
  </si>
  <si>
    <t>Cicindela marginipennis</t>
  </si>
  <si>
    <t>Cobblestone Tiger Beetle</t>
  </si>
  <si>
    <t>Cambarus bartonii</t>
  </si>
  <si>
    <t>Common Crayfish</t>
  </si>
  <si>
    <t>Gomphidae</t>
  </si>
  <si>
    <t>Progomphus obscurus</t>
  </si>
  <si>
    <t>Common Sanddragon</t>
  </si>
  <si>
    <t>Stygobromus cooperi</t>
  </si>
  <si>
    <t>Cooper's Cave Amphipod</t>
  </si>
  <si>
    <t>Plethodon punctatus</t>
  </si>
  <si>
    <t>Cow Knob Salamander</t>
  </si>
  <si>
    <t>Vaccinium macrocarpon</t>
  </si>
  <si>
    <t>Cranberry</t>
  </si>
  <si>
    <t>Acris crepitans</t>
  </si>
  <si>
    <t>Cricket frog</t>
  </si>
  <si>
    <t>Leucorrhinia glacialis</t>
  </si>
  <si>
    <t>Crimson-ringed Whiteface</t>
  </si>
  <si>
    <t>Stygobromus culveri</t>
  </si>
  <si>
    <t>Culver's Cave Amphipod</t>
  </si>
  <si>
    <t>Kenkiidae</t>
  </si>
  <si>
    <t>Sphalloplana culveri</t>
  </si>
  <si>
    <t>Culver's Planarian</t>
  </si>
  <si>
    <t>Potamogetonaceae</t>
  </si>
  <si>
    <t>Potamogeton crispus</t>
  </si>
  <si>
    <t>Curly Pondweed</t>
  </si>
  <si>
    <t>GNA</t>
  </si>
  <si>
    <t>Dewdrop</t>
  </si>
  <si>
    <t>Fallicambarus fodiens</t>
  </si>
  <si>
    <t>Digger Crayfish</t>
  </si>
  <si>
    <t>Pseudanophthalmus montanus</t>
  </si>
  <si>
    <t>Dry Fork Valley Cave Beetle</t>
  </si>
  <si>
    <t>Pseudoscorpiones</t>
  </si>
  <si>
    <t>Chthoniidae</t>
  </si>
  <si>
    <t>Apochthonius paucispinosus</t>
  </si>
  <si>
    <t>Dry Fork Valley Cave Pseudoscorpion</t>
  </si>
  <si>
    <t>Coenagrionidae</t>
  </si>
  <si>
    <t>Telebasis byersi</t>
  </si>
  <si>
    <t>Duckweed Firetail</t>
  </si>
  <si>
    <t>Alloperla biserrata</t>
  </si>
  <si>
    <t>Dusky Sallfly</t>
  </si>
  <si>
    <t>Alismatales</t>
  </si>
  <si>
    <t>Alismataceae</t>
  </si>
  <si>
    <t>Echinodorus tenellus</t>
  </si>
  <si>
    <t>dwarf burhead</t>
  </si>
  <si>
    <t>G5?</t>
  </si>
  <si>
    <t>Santalales</t>
  </si>
  <si>
    <t>Viscaceae</t>
  </si>
  <si>
    <t>Arceuthobium pusillum</t>
  </si>
  <si>
    <t>Dwarf mistletoe</t>
  </si>
  <si>
    <t>Alasmidonta heterodon</t>
  </si>
  <si>
    <t>Dwarf wedgemussel</t>
  </si>
  <si>
    <t>Phrynosomatidae</t>
  </si>
  <si>
    <t>Sceloporus undulatus</t>
  </si>
  <si>
    <t>Eastern Fence Lizard</t>
  </si>
  <si>
    <t>Cryptobranchidae</t>
  </si>
  <si>
    <t>Cryptobranchus alleganiensis</t>
  </si>
  <si>
    <t>Eastern Hellbender</t>
  </si>
  <si>
    <t>Colubridae</t>
  </si>
  <si>
    <t>Heterodon platirhinos</t>
  </si>
  <si>
    <t>Eastern Hog-nosed Snake</t>
  </si>
  <si>
    <t>Viperidae</t>
  </si>
  <si>
    <t>Sistrurus catenatus catenatus</t>
  </si>
  <si>
    <t>Eastern Massasauga</t>
  </si>
  <si>
    <t>Margaritifera margaritifera</t>
  </si>
  <si>
    <t>Eastern pearlshell</t>
  </si>
  <si>
    <t>Ligumia nasuta</t>
  </si>
  <si>
    <t>Eastern Pondmussel</t>
  </si>
  <si>
    <t>Coluber constrictor</t>
  </si>
  <si>
    <t>Eastern Racer</t>
  </si>
  <si>
    <t>Eastern sand cherry</t>
  </si>
  <si>
    <t>G5T5</t>
  </si>
  <si>
    <t>Ammocrypta pellucida</t>
  </si>
  <si>
    <t>Eastern Sand Darter</t>
  </si>
  <si>
    <t>Scaphiopodidae</t>
  </si>
  <si>
    <t>Scaphiopus holbrookii</t>
  </si>
  <si>
    <t>Eastern Spadefoot</t>
  </si>
  <si>
    <t>Ambystomatidae</t>
  </si>
  <si>
    <t>Ambystoma tigrinum</t>
  </si>
  <si>
    <t>Eastern Tiger Salamander</t>
  </si>
  <si>
    <t>Corduliidae</t>
  </si>
  <si>
    <t>Williamsonia fletcheri</t>
  </si>
  <si>
    <t>Ebony Boghaunter</t>
  </si>
  <si>
    <t>Cambarus elkensis</t>
  </si>
  <si>
    <t>Elk River Crayfish</t>
  </si>
  <si>
    <t>Alasmidonta marginata</t>
  </si>
  <si>
    <t>Elktoe</t>
  </si>
  <si>
    <t>Poaceae</t>
  </si>
  <si>
    <t>Muhlenbergia uniflora</t>
  </si>
  <si>
    <t>Fall dropseed muhly</t>
  </si>
  <si>
    <t>Liliales</t>
  </si>
  <si>
    <t>Liliaceae</t>
  </si>
  <si>
    <t>Maianthemum trifolium</t>
  </si>
  <si>
    <t>False Solomon's-seal</t>
  </si>
  <si>
    <t>Cyprogenia stegaria</t>
  </si>
  <si>
    <t>Fanshell</t>
  </si>
  <si>
    <t>Carex oligosperma</t>
  </si>
  <si>
    <t>Few-seeded sedge</t>
  </si>
  <si>
    <t>Noctuidae</t>
  </si>
  <si>
    <t>Lemmeria digitalis</t>
  </si>
  <si>
    <t>Fingered Lemmeria Moth</t>
  </si>
  <si>
    <t>Fisher</t>
  </si>
  <si>
    <t>Five-lined skink</t>
  </si>
  <si>
    <t>Triodopsis platysayoides</t>
  </si>
  <si>
    <t>Flat-spired three-toothed land snail</t>
  </si>
  <si>
    <t>Flypoison Borer Moth</t>
  </si>
  <si>
    <t>Somatochlora forcipata</t>
  </si>
  <si>
    <t>Forcipate Emerald</t>
  </si>
  <si>
    <t>Callophrys irus</t>
  </si>
  <si>
    <t>Frosted Elfin</t>
  </si>
  <si>
    <t>Entomobryidae</t>
  </si>
  <si>
    <t>Pseudosinella certa</t>
  </si>
  <si>
    <t>Gandy Creek Cave Springtail</t>
  </si>
  <si>
    <t>Capparales</t>
  </si>
  <si>
    <t>Brassicaceae</t>
  </si>
  <si>
    <t>Invasive</t>
  </si>
  <si>
    <t>Alliaria petiolata</t>
  </si>
  <si>
    <t>Garlic Mustard</t>
  </si>
  <si>
    <t>Utaperla gaspesiana</t>
  </si>
  <si>
    <t>Gaspe Sallfly</t>
  </si>
  <si>
    <t>Chordeumatida</t>
  </si>
  <si>
    <t>Cleidogonidae</t>
  </si>
  <si>
    <t>General Davis Cave Millipede</t>
  </si>
  <si>
    <t>Pseudotremia lusciosa</t>
  </si>
  <si>
    <t>Germany Valley Cave Millipede</t>
  </si>
  <si>
    <t>Euphorbiales</t>
  </si>
  <si>
    <t>Euphorbiaceae</t>
  </si>
  <si>
    <t>Euphorbia purpurea</t>
  </si>
  <si>
    <t>Glade Spurge</t>
  </si>
  <si>
    <t>Vermivora chrysoptera</t>
  </si>
  <si>
    <t>Golden-winged warbler</t>
  </si>
  <si>
    <t>Nymphalidae</t>
  </si>
  <si>
    <t>Chlosyne gorgone</t>
  </si>
  <si>
    <t>Gorgone checkerspot</t>
  </si>
  <si>
    <t>Petaluridae</t>
  </si>
  <si>
    <t>Tachopteryx thoreyi</t>
  </si>
  <si>
    <t>Gray Petaltail</t>
  </si>
  <si>
    <t>Violales</t>
  </si>
  <si>
    <t>Violaceae</t>
  </si>
  <si>
    <t>Viola selkirkii</t>
  </si>
  <si>
    <t>Great spurred violet</t>
  </si>
  <si>
    <t>Lasmigona subviridis</t>
  </si>
  <si>
    <t>Green floater</t>
  </si>
  <si>
    <t>Aneides aeneus</t>
  </si>
  <si>
    <t>Green Salamander</t>
  </si>
  <si>
    <t>Lepomis cyanellus</t>
  </si>
  <si>
    <t>Green Sunfish</t>
  </si>
  <si>
    <t>Cambarus nerterius</t>
  </si>
  <si>
    <t>Greenbrier Cave Crayfish</t>
  </si>
  <si>
    <t>Neotaenioglossa</t>
  </si>
  <si>
    <t>Hydrobiidae</t>
  </si>
  <si>
    <t>Fontigens turritella</t>
  </si>
  <si>
    <t>Greenbrier Cavesnail</t>
  </si>
  <si>
    <t>Cambarus smilax</t>
  </si>
  <si>
    <t>Greenbrier Crayfish</t>
  </si>
  <si>
    <t>GNR (G1?)</t>
  </si>
  <si>
    <t>Gomphus viridifrons</t>
  </si>
  <si>
    <t>Green-faced Clubtail</t>
  </si>
  <si>
    <t>Cicindela hirticollis</t>
  </si>
  <si>
    <t>Hairy-necked tiger beetle</t>
  </si>
  <si>
    <t>Perlidae</t>
  </si>
  <si>
    <t>Hansonoperla appalachia</t>
  </si>
  <si>
    <t>Hanson's Appalachian Stonefly</t>
  </si>
  <si>
    <t>Apiales</t>
  </si>
  <si>
    <t>Apiaceae</t>
  </si>
  <si>
    <t>Ptilimnium nodosum</t>
  </si>
  <si>
    <t>Harperella</t>
  </si>
  <si>
    <t>Ammodramus henslowii</t>
  </si>
  <si>
    <t>Henslow's Sparrow</t>
  </si>
  <si>
    <t>Chiroptera</t>
  </si>
  <si>
    <t>Vespertilionidae</t>
  </si>
  <si>
    <t>Lasiurus cinereus</t>
  </si>
  <si>
    <t>Hoary Bat</t>
  </si>
  <si>
    <t>Pseudanophthalmus holsingeri</t>
  </si>
  <si>
    <t>Holsinger's Cave Beetle</t>
  </si>
  <si>
    <t>Scrophulariales</t>
  </si>
  <si>
    <t>Lentibulariaceae</t>
  </si>
  <si>
    <t>Utricularia cornuta</t>
  </si>
  <si>
    <t>Horned bladderwort</t>
  </si>
  <si>
    <t>Myotis sodalis</t>
  </si>
  <si>
    <t>Indiana Bat</t>
  </si>
  <si>
    <t>Pleurobema collina</t>
  </si>
  <si>
    <t>James Spiny Mussel</t>
  </si>
  <si>
    <t>Ambystoma jeffersonianum</t>
  </si>
  <si>
    <t>Jefferson Salamander</t>
  </si>
  <si>
    <t>Oeneis jutta</t>
  </si>
  <si>
    <t>Jutta arctic</t>
  </si>
  <si>
    <t>Cyprinidae</t>
  </si>
  <si>
    <t>Phenacobius teretulus</t>
  </si>
  <si>
    <t>Kanawha Minnow</t>
  </si>
  <si>
    <t>Cottus kanawhae</t>
  </si>
  <si>
    <t>Kanawha Sculpin</t>
  </si>
  <si>
    <t>Plebejus melissa samuelis</t>
  </si>
  <si>
    <t>Karner blue</t>
  </si>
  <si>
    <t>Fabales</t>
  </si>
  <si>
    <t>Fabaceae</t>
  </si>
  <si>
    <t>Trifolium virginicum</t>
  </si>
  <si>
    <t>Kates Mountain Clover</t>
  </si>
  <si>
    <t>Labrador-tea</t>
  </si>
  <si>
    <t>Somatochlora cingulata</t>
  </si>
  <si>
    <t>Lake Emerald</t>
  </si>
  <si>
    <t>Acipenseriformes</t>
  </si>
  <si>
    <t>Acipenseridae</t>
  </si>
  <si>
    <t>Acipenser fulvescens</t>
  </si>
  <si>
    <t>Lake Sturgeon</t>
  </si>
  <si>
    <t>Coregonus clupeaformis</t>
  </si>
  <si>
    <t>Lake Whitefish</t>
  </si>
  <si>
    <t>Pseudanophthalmus lallemanti</t>
  </si>
  <si>
    <t>Lallemants Cave Beetle</t>
  </si>
  <si>
    <t>Oclemena nemoralis</t>
  </si>
  <si>
    <t>Leafy bog aster</t>
  </si>
  <si>
    <t>Chamaedaphne calyculata</t>
  </si>
  <si>
    <t>Leatherleaf</t>
  </si>
  <si>
    <t>Allium oxyphilum</t>
  </si>
  <si>
    <t>Lillydale Onion</t>
  </si>
  <si>
    <t>G2Q</t>
  </si>
  <si>
    <t>Myotis lucifugus</t>
  </si>
  <si>
    <t>Little Brown Bat</t>
  </si>
  <si>
    <t>Cambarus thomai</t>
  </si>
  <si>
    <t>Little Brown Mudbug</t>
  </si>
  <si>
    <t>Lepomis megalotis</t>
  </si>
  <si>
    <t>longear sunfish</t>
  </si>
  <si>
    <t>Etheostoma longimanum</t>
  </si>
  <si>
    <t>Longfin Darter</t>
  </si>
  <si>
    <t>Percina macrocephala</t>
  </si>
  <si>
    <t>Longhead Darter</t>
  </si>
  <si>
    <t>Aquifoliaceae</t>
  </si>
  <si>
    <t>Ilex collina</t>
  </si>
  <si>
    <t>Long-stalk Holly</t>
  </si>
  <si>
    <t>Eurycea longicauda</t>
  </si>
  <si>
    <t>Longtail Salamander</t>
  </si>
  <si>
    <t>Louisiana waterthrush</t>
  </si>
  <si>
    <t>Cirolanidae</t>
  </si>
  <si>
    <t>Antrolana lira</t>
  </si>
  <si>
    <t>Madison Cave Isopod</t>
  </si>
  <si>
    <t>G2G4</t>
  </si>
  <si>
    <t>Ambystoma opacum</t>
  </si>
  <si>
    <t>Marbled Salamander</t>
  </si>
  <si>
    <t>Zonitidae</t>
  </si>
  <si>
    <t>Glyphyalinia raderi</t>
  </si>
  <si>
    <t>Maryland Glyph</t>
  </si>
  <si>
    <t>Salicales</t>
  </si>
  <si>
    <t>Salicaceae</t>
  </si>
  <si>
    <t>Salix petiolaris</t>
  </si>
  <si>
    <t>Meadow willow</t>
  </si>
  <si>
    <t>Gomphus fraternus</t>
  </si>
  <si>
    <t>Midland Clubtail</t>
  </si>
  <si>
    <t>Pseudotriton montanus diastictus</t>
  </si>
  <si>
    <t>Midland Mud Salamander</t>
  </si>
  <si>
    <t>Laniidae</t>
  </si>
  <si>
    <t>Lanius ludovicianus migrans</t>
  </si>
  <si>
    <t>Migrant Loggerhead Shrike</t>
  </si>
  <si>
    <t>Ranidae</t>
  </si>
  <si>
    <t>Rana septentrionalis</t>
  </si>
  <si>
    <t>Mink frog</t>
  </si>
  <si>
    <t>Eupatorium coelestinum (Conoclinum coelestinum)</t>
  </si>
  <si>
    <t>Mistflower</t>
  </si>
  <si>
    <t>Marshallia grandiflora</t>
  </si>
  <si>
    <t>Monongahela Barbara's-Buttons</t>
  </si>
  <si>
    <t>Capniidae</t>
  </si>
  <si>
    <t>Allocapnia frumi</t>
  </si>
  <si>
    <t>Monongahela Snowfly</t>
  </si>
  <si>
    <t>Petromyzontida</t>
  </si>
  <si>
    <t>Petromyzontiformes</t>
  </si>
  <si>
    <t>Petromyzontidae</t>
  </si>
  <si>
    <t>Ichthyomyzon greeleyi</t>
  </si>
  <si>
    <t>Mountain Brook Lamprey</t>
  </si>
  <si>
    <t>Pseudacris brachyphona</t>
  </si>
  <si>
    <t>mountain chorus frog</t>
  </si>
  <si>
    <t>Virginia valeriae pulchra</t>
  </si>
  <si>
    <t>Mountain Earthsnake</t>
  </si>
  <si>
    <t>G5T3T4</t>
  </si>
  <si>
    <t>Taenidia montana</t>
  </si>
  <si>
    <t>Mountain Pimpernel</t>
  </si>
  <si>
    <t>Caryophyllales</t>
  </si>
  <si>
    <t>Caryophylaceae</t>
  </si>
  <si>
    <t>Minuartia groenlandica</t>
  </si>
  <si>
    <t>Mountain Sandwort</t>
  </si>
  <si>
    <t>Sibbaldiopsis tridentata</t>
  </si>
  <si>
    <t>Carex limosa</t>
  </si>
  <si>
    <t>Mud sedge</t>
  </si>
  <si>
    <t>Cambarus chasmodactylus</t>
  </si>
  <si>
    <t>New River Crayfish</t>
  </si>
  <si>
    <t>Notropis scabriceps</t>
  </si>
  <si>
    <t>New River Shiner</t>
  </si>
  <si>
    <t>Peromyscus maniculatus</t>
  </si>
  <si>
    <t>North American Deermouse</t>
  </si>
  <si>
    <t>Scirpus ancistrochaetus</t>
  </si>
  <si>
    <t>Northeastern Bulrush</t>
  </si>
  <si>
    <t>Cicindela patruela</t>
  </si>
  <si>
    <t>Falconiformes</t>
  </si>
  <si>
    <t>Accipitridae</t>
  </si>
  <si>
    <t>Accipiter gentilis</t>
  </si>
  <si>
    <t>Northern Goshawk</t>
  </si>
  <si>
    <t>(PS)</t>
  </si>
  <si>
    <t>Riodinidae</t>
  </si>
  <si>
    <t>Calephelis borealis</t>
  </si>
  <si>
    <t>Northern Metalmark</t>
  </si>
  <si>
    <t>Epioblasma torulosa rangiana</t>
  </si>
  <si>
    <t>Northern Riffleshell</t>
  </si>
  <si>
    <t>G2T2</t>
  </si>
  <si>
    <t>Strigidae</t>
  </si>
  <si>
    <t>Aegolius acadicus</t>
  </si>
  <si>
    <t>Northern Saw-whet Owl</t>
  </si>
  <si>
    <t>Theales</t>
  </si>
  <si>
    <t>Clusiaceae</t>
  </si>
  <si>
    <t>Hypericum boreale</t>
  </si>
  <si>
    <t>Northern St, John's-wort</t>
  </si>
  <si>
    <t>Contopus cooperi</t>
  </si>
  <si>
    <t>Olive-sided Flycatcher</t>
  </si>
  <si>
    <t>Pieridae</t>
  </si>
  <si>
    <t>Euchloe olympia</t>
  </si>
  <si>
    <t>Olympia marble</t>
  </si>
  <si>
    <t>Kleptochthonius hetricki</t>
  </si>
  <si>
    <t>Organ Cave Pseudoscorpion</t>
  </si>
  <si>
    <t>Fontigens tartarea</t>
  </si>
  <si>
    <t>Organ Cavesnail</t>
  </si>
  <si>
    <t>Kleptochthonius orpheus</t>
  </si>
  <si>
    <t>Orpheus Cave Pseudoscorpion</t>
  </si>
  <si>
    <t>Stygobromus redactus</t>
  </si>
  <si>
    <t>Patton Cave Amphipod</t>
  </si>
  <si>
    <t>Falconidae</t>
  </si>
  <si>
    <t>Falco peregrinus</t>
  </si>
  <si>
    <t>Peregrine Falcon</t>
  </si>
  <si>
    <t>Erynnis persius persius</t>
  </si>
  <si>
    <t>Persius duskywing</t>
  </si>
  <si>
    <t>G5T1T3</t>
  </si>
  <si>
    <t>Quercus palustris</t>
  </si>
  <si>
    <t>Pin Oak</t>
  </si>
  <si>
    <t>Enallagma recurvatum</t>
  </si>
  <si>
    <t>Pine Barrens Bluet</t>
  </si>
  <si>
    <t>Lampsilis abrupta</t>
  </si>
  <si>
    <t>Pink Mucket</t>
  </si>
  <si>
    <t>Colias interior</t>
  </si>
  <si>
    <t>Pink-edged Sulpher</t>
  </si>
  <si>
    <t>Pinus rigida</t>
  </si>
  <si>
    <t>Pitch Pine</t>
  </si>
  <si>
    <t>Stygobromus nanus</t>
  </si>
  <si>
    <t>Pocahontas Cave Amphipod</t>
  </si>
  <si>
    <t>Sweltsa pocahontas</t>
  </si>
  <si>
    <t>Pocahontas Sallfly</t>
  </si>
  <si>
    <t>Najadales</t>
  </si>
  <si>
    <t>Scheuchzeriaceae</t>
  </si>
  <si>
    <t>Scheuchzeria palustris</t>
  </si>
  <si>
    <t>Pod-grass</t>
  </si>
  <si>
    <t>Kleptochthonius proserpinae</t>
  </si>
  <si>
    <t>Proserpina Cave Pseudoscorpion</t>
  </si>
  <si>
    <t>Protonotaria citrea</t>
  </si>
  <si>
    <t>Prothonotary Warbler</t>
  </si>
  <si>
    <t>Notropis anogenus</t>
  </si>
  <si>
    <t>Pugnose Shiner</t>
  </si>
  <si>
    <t>Rubiales</t>
  </si>
  <si>
    <t>Rubiaceae</t>
  </si>
  <si>
    <t>Galium latifolium</t>
  </si>
  <si>
    <t>Purple bedstraw</t>
  </si>
  <si>
    <t>Ophiogomphus howei</t>
  </si>
  <si>
    <t>Pygmy Snaketail</t>
  </si>
  <si>
    <t>Regina septemvittata</t>
  </si>
  <si>
    <t>Queen Snake</t>
  </si>
  <si>
    <t>Ischnura ramburii</t>
  </si>
  <si>
    <t>Rambur's Forktail</t>
  </si>
  <si>
    <t>Rand's Goldenrod</t>
  </si>
  <si>
    <t>G5T4T5</t>
  </si>
  <si>
    <t>Gomphus quadricolor</t>
  </si>
  <si>
    <t>Rapids Clubtail</t>
  </si>
  <si>
    <t>Villosa fabalis</t>
  </si>
  <si>
    <t>Rayed Bean</t>
  </si>
  <si>
    <t>Fringillidae</t>
  </si>
  <si>
    <t>Loxia curvirostra</t>
  </si>
  <si>
    <t>Red Crossbill</t>
  </si>
  <si>
    <t>Sapindales</t>
  </si>
  <si>
    <t>Aceraceae</t>
  </si>
  <si>
    <t>Acer rubrum</t>
  </si>
  <si>
    <t>Red Maple</t>
  </si>
  <si>
    <t>Quercus rubra</t>
  </si>
  <si>
    <t>Red Oak</t>
  </si>
  <si>
    <t>Picea rubens</t>
  </si>
  <si>
    <t>Lythrurus umbratilis</t>
  </si>
  <si>
    <t>Redfin Shiner</t>
  </si>
  <si>
    <t>Clinostomus elongatus</t>
  </si>
  <si>
    <t>Redside Dace</t>
  </si>
  <si>
    <t>Sphalloplana pricei</t>
  </si>
  <si>
    <t>Refton Cave Planarian</t>
  </si>
  <si>
    <t>Speyeria idalia</t>
  </si>
  <si>
    <t>Regal Fritillary</t>
  </si>
  <si>
    <t>Rhododendron canadense</t>
  </si>
  <si>
    <t>Rhodora</t>
  </si>
  <si>
    <t>Cambarus carinirostris</t>
  </si>
  <si>
    <t>Rock Crawfish</t>
  </si>
  <si>
    <t>Paravitrea reesei</t>
  </si>
  <si>
    <t>Round Supercoil</t>
  </si>
  <si>
    <t>Syarinidae</t>
  </si>
  <si>
    <t>Chitrella regina</t>
  </si>
  <si>
    <t>Royal Syarinid Pseudoscorpion</t>
  </si>
  <si>
    <t>Trifolium stoloniferum</t>
  </si>
  <si>
    <t>Running Buffalo Clover</t>
  </si>
  <si>
    <t>Stylurus plagiatus</t>
  </si>
  <si>
    <t>Russet-tipped Clubtail</t>
  </si>
  <si>
    <t>Euphagus carolinus</t>
  </si>
  <si>
    <t>Rusty blackbird</t>
  </si>
  <si>
    <t>Gomphus rogersi</t>
  </si>
  <si>
    <t>Sable Clubtail</t>
  </si>
  <si>
    <t>Orconectes sanbornii</t>
  </si>
  <si>
    <t>Sanborn's Crayfish</t>
  </si>
  <si>
    <t>Thraupidae</t>
  </si>
  <si>
    <t>Piranga olivacea</t>
  </si>
  <si>
    <t>Scarlet tanager</t>
  </si>
  <si>
    <t>Carex schweinitzii</t>
  </si>
  <si>
    <t>Schweinitz's sedge</t>
  </si>
  <si>
    <t>Pseudanophthalmus senecae</t>
  </si>
  <si>
    <t>Seneca Cave Beetle</t>
  </si>
  <si>
    <t>Arabis serotina</t>
  </si>
  <si>
    <t>Shale Barren Rock Cress</t>
  </si>
  <si>
    <t>Plethodon virginia</t>
  </si>
  <si>
    <t>Shenandoah Mountain Salamander</t>
  </si>
  <si>
    <t>G2G3Q</t>
  </si>
  <si>
    <t>Leuctridae</t>
  </si>
  <si>
    <t>Megaleuctra flinti</t>
  </si>
  <si>
    <t>Shenandoah Needlefly</t>
  </si>
  <si>
    <t>Plethodon shenandoah</t>
  </si>
  <si>
    <t>Shenandoah Salamander</t>
  </si>
  <si>
    <t>Hamamelidales</t>
  </si>
  <si>
    <t>Platanaceae</t>
  </si>
  <si>
    <t>Platanthera shriveri</t>
  </si>
  <si>
    <t>Shriver's Frilly Orchid</t>
  </si>
  <si>
    <t>Paravitrea ceres</t>
  </si>
  <si>
    <t>Sidelong Supercoil</t>
  </si>
  <si>
    <t>Boloria selene</t>
  </si>
  <si>
    <t>Silver-boardered fritillary</t>
  </si>
  <si>
    <t>Cottus cognatus</t>
  </si>
  <si>
    <t>Slimy Sculpin</t>
  </si>
  <si>
    <t>Isotria medeoloides</t>
  </si>
  <si>
    <t>Small Whorled Pogonia</t>
  </si>
  <si>
    <t>Myotis leibii</t>
  </si>
  <si>
    <t>Ambystoma texanum</t>
  </si>
  <si>
    <t>Smallmouth Salamander</t>
  </si>
  <si>
    <t>Echinacea laevigata</t>
  </si>
  <si>
    <t>Trillium nivale</t>
  </si>
  <si>
    <t>Snow Trillium</t>
  </si>
  <si>
    <t>Lepus americanus</t>
  </si>
  <si>
    <t>Snowshoe Hare</t>
  </si>
  <si>
    <t>Epioblasma triquetra</t>
  </si>
  <si>
    <t>Snuffbox</t>
  </si>
  <si>
    <t>Pseudotremia princeps</t>
  </si>
  <si>
    <t>South Branch Valley Cave Millipede</t>
  </si>
  <si>
    <t>Southern leopard frog</t>
  </si>
  <si>
    <t>Microtus chrotorrhinus carolinensis</t>
  </si>
  <si>
    <t>Southern Rock Vole</t>
  </si>
  <si>
    <t>G4T3</t>
  </si>
  <si>
    <t>Soricomorpha</t>
  </si>
  <si>
    <t>Soricidae</t>
  </si>
  <si>
    <t>Sorex palustris puctulatus</t>
  </si>
  <si>
    <t>Southern Water Shrew</t>
  </si>
  <si>
    <t>G5T3</t>
  </si>
  <si>
    <t>Aeshnidae</t>
  </si>
  <si>
    <t>Spatterdock Darner</t>
  </si>
  <si>
    <t>Elliptio dilatata</t>
  </si>
  <si>
    <t>Spike</t>
  </si>
  <si>
    <t>Trionychidae</t>
  </si>
  <si>
    <t>Apalone spinifera</t>
  </si>
  <si>
    <t>Spiny softshell</t>
  </si>
  <si>
    <t>Orconectes cristavarius</t>
  </si>
  <si>
    <t>Spiny Stream Crayfish</t>
  </si>
  <si>
    <t>Hansonoperla hokolesqua</t>
  </si>
  <si>
    <t>Splendid Stone</t>
  </si>
  <si>
    <t>Triodopsis picea</t>
  </si>
  <si>
    <t>Spruce Knob Threetooth Snail</t>
  </si>
  <si>
    <t>Stygobromus stellmacki</t>
  </si>
  <si>
    <t>Stellmack's Cave Amphipod</t>
  </si>
  <si>
    <t>Ambystoma barbouri</t>
  </si>
  <si>
    <t>Streamside Salamander</t>
  </si>
  <si>
    <t>Acer saccharum</t>
  </si>
  <si>
    <t>Sugar Maple</t>
  </si>
  <si>
    <t>Catostomus utawana</t>
  </si>
  <si>
    <t>Summer Sucker</t>
  </si>
  <si>
    <t>Calopterygidae</t>
  </si>
  <si>
    <t>Calopteryx amata</t>
  </si>
  <si>
    <t>Superb Jewelwing</t>
  </si>
  <si>
    <t>Catharus ustulatus</t>
  </si>
  <si>
    <t>Swainson's Thrush</t>
  </si>
  <si>
    <t>Limnothlypis swainsonii</t>
  </si>
  <si>
    <t>Swainson's Warbler</t>
  </si>
  <si>
    <t>Solanales</t>
  </si>
  <si>
    <t>Polemoniaceae</t>
  </si>
  <si>
    <t>Phlox buckleyi</t>
  </si>
  <si>
    <t>Swordleaf Phlox</t>
  </si>
  <si>
    <t>Platanus occidentalis</t>
  </si>
  <si>
    <t>Sycamore</t>
  </si>
  <si>
    <t>Sylvan Hygrotus Diving Beetle</t>
  </si>
  <si>
    <t>GU</t>
  </si>
  <si>
    <t>Cambarus sciotensis</t>
  </si>
  <si>
    <t>Taeys River Crayfish</t>
  </si>
  <si>
    <t>Eriophorum virginicum</t>
  </si>
  <si>
    <t>Tawny cotton-grass</t>
  </si>
  <si>
    <t>Potamogeton tennesseensis</t>
  </si>
  <si>
    <t>Tennessee Pondweed</t>
  </si>
  <si>
    <t>Etheostoma olmstedi</t>
  </si>
  <si>
    <t>Tessellated Darter</t>
  </si>
  <si>
    <t>Juncales</t>
  </si>
  <si>
    <t>Juncaceae</t>
  </si>
  <si>
    <t>Juncus filiformis</t>
  </si>
  <si>
    <t>Thread rush</t>
  </si>
  <si>
    <t>Amblema plicata</t>
  </si>
  <si>
    <t>Three-ridge</t>
  </si>
  <si>
    <t>Cordulegastridae</t>
  </si>
  <si>
    <t>Cordulegaster erronea</t>
  </si>
  <si>
    <t>Tiger Spiketail</t>
  </si>
  <si>
    <t>Crotalus horridus</t>
  </si>
  <si>
    <t>Timber Rattlesnake</t>
  </si>
  <si>
    <t>Pseudanophthalmus hadenoecus</t>
  </si>
  <si>
    <t>Timber Ridge Cave Beetle</t>
  </si>
  <si>
    <t>Siphlonuridae</t>
  </si>
  <si>
    <t>Siphlonisca aerodromia</t>
  </si>
  <si>
    <t>Tomah Mayfly</t>
  </si>
  <si>
    <t>Exoglossum laurae</t>
  </si>
  <si>
    <t>Tonguetied Minnow</t>
  </si>
  <si>
    <t>Acanthaceae</t>
  </si>
  <si>
    <t>Rotala ramosior</t>
  </si>
  <si>
    <t>Toothcup</t>
  </si>
  <si>
    <t>Lamiales</t>
  </si>
  <si>
    <t>Lamiaceae</t>
  </si>
  <si>
    <t>Pycnanthemum torrei</t>
  </si>
  <si>
    <t>Torrey's Mountain-mint</t>
  </si>
  <si>
    <t>Anseriformes</t>
  </si>
  <si>
    <t>Anatidae</t>
  </si>
  <si>
    <t>Cygnus columbianus</t>
  </si>
  <si>
    <t>Tundra swan</t>
  </si>
  <si>
    <t>Gentianales</t>
  </si>
  <si>
    <t>Gentianaceae</t>
  </si>
  <si>
    <t>Bartonia paniculata</t>
  </si>
  <si>
    <t>Twining screwstem</t>
  </si>
  <si>
    <t>Euphyes bimacula</t>
  </si>
  <si>
    <t>Two Spotted Skipper</t>
  </si>
  <si>
    <t>Upland Burrowing Crayfish</t>
  </si>
  <si>
    <t>Carex polymorpha</t>
  </si>
  <si>
    <t>Lathyrus palustris</t>
  </si>
  <si>
    <t>Vetchling Peavine</t>
  </si>
  <si>
    <t>Corynorhinus townsendii virginianus</t>
  </si>
  <si>
    <t>Virginia Big-eared Bat</t>
  </si>
  <si>
    <t>G4T2</t>
  </si>
  <si>
    <t>Patera panselenus</t>
  </si>
  <si>
    <t>Virginia Bladetooth</t>
  </si>
  <si>
    <t>Pinus virginiana</t>
  </si>
  <si>
    <t>Virginia Pine</t>
  </si>
  <si>
    <t>Spiraea virginiana</t>
  </si>
  <si>
    <t>Virginia Spiraea</t>
  </si>
  <si>
    <t>Orconectes virilis</t>
  </si>
  <si>
    <t>Virile Crayfish</t>
  </si>
  <si>
    <t>Schoenoplectus subterminalis</t>
  </si>
  <si>
    <t>Lampsilis fasciola</t>
  </si>
  <si>
    <t>Wavyrayed Lampmussel</t>
  </si>
  <si>
    <t>Plethodon wehrlei</t>
  </si>
  <si>
    <t>Wehrle's Salamander</t>
  </si>
  <si>
    <t>Pieris virginiensis</t>
  </si>
  <si>
    <t>West Virginia White</t>
  </si>
  <si>
    <t>G3?</t>
  </si>
  <si>
    <t>Pseudacris triseriata</t>
  </si>
  <si>
    <t>Western chorus frog</t>
  </si>
  <si>
    <t>Whip-poor-will</t>
  </si>
  <si>
    <t>Rhynchospora alba</t>
  </si>
  <si>
    <t>White beak-rush</t>
  </si>
  <si>
    <t>Platanthera blephariglottis</t>
  </si>
  <si>
    <t>White fringed-orchid</t>
  </si>
  <si>
    <t>Quercus alba</t>
  </si>
  <si>
    <t>White Oak</t>
  </si>
  <si>
    <t>Procambarus acutus</t>
  </si>
  <si>
    <t>White River Crayfish</t>
  </si>
  <si>
    <t>Erythronium albidum</t>
  </si>
  <si>
    <t>White trout-lily</t>
  </si>
  <si>
    <t>Hylocichla mustelina</t>
  </si>
  <si>
    <t>Wood thrush</t>
  </si>
  <si>
    <t>Glyptemys insculpta</t>
  </si>
  <si>
    <t>Wood Turtle</t>
  </si>
  <si>
    <t>Helmitheros vermivorum</t>
  </si>
  <si>
    <t>Worm-eating warbler</t>
  </si>
  <si>
    <t>Gyrinophilus subterraneus</t>
  </si>
  <si>
    <t>WV Spring Salamander</t>
  </si>
  <si>
    <t>Lampsilis cariosa</t>
  </si>
  <si>
    <t>Yellow lampmussel</t>
  </si>
  <si>
    <t>Three subregions of the Appalachian LCC where additional species were assessed by Sneddon et al. (2015)</t>
  </si>
  <si>
    <t>Assessment area used in Southern Appalachian and Interior Low Plateau regions by Bruno et al. (2012)</t>
  </si>
  <si>
    <t>Web link to NatureServe Explorer</t>
  </si>
  <si>
    <t>Global Rank</t>
  </si>
  <si>
    <t>MD</t>
  </si>
  <si>
    <t>OH</t>
  </si>
  <si>
    <t>Higher Plants</t>
  </si>
  <si>
    <t>Vertebrates</t>
  </si>
  <si>
    <t>(MV)</t>
  </si>
  <si>
    <t>http://explorer.natureserve.org/servlet/NatureServe?searchSpeciesUid=ELEMENT_GLOBAL.2.144206</t>
  </si>
  <si>
    <t>Ranunculales</t>
  </si>
  <si>
    <t>Ranunculaceae</t>
  </si>
  <si>
    <t>Actaea podocarpa</t>
  </si>
  <si>
    <t>Mountain bugbane</t>
  </si>
  <si>
    <t>Invertebrates</t>
  </si>
  <si>
    <t>Aeshna mutata = (Rhionaeschna mutata)</t>
  </si>
  <si>
    <t>http://explorer.natureserve.org/servlet/NatureServe?searchSpeciesUid=ELEMENT_GLOBAL.2.105170</t>
  </si>
  <si>
    <t>Aimophila aestivalis = Peucaea aestivalis</t>
  </si>
  <si>
    <t>http://explorer.natureserve.org/servlet/NatureServe?searchSpeciesUid=ELEMENT_GLOBAL.2.147119</t>
  </si>
  <si>
    <t>Alisma triviale</t>
  </si>
  <si>
    <t>Large water-plantain</t>
  </si>
  <si>
    <t>(IL)</t>
  </si>
  <si>
    <t>http://explorer.natureserve.org/servlet/NatureServe?searchSpeciesUid=ELEMENT_GLOBAL.2.139597</t>
  </si>
  <si>
    <t>http://explorer.natureserve.org/servlet/NatureServe?searchSpeciesUid=ELEMENT_GLOBAL.2.116773</t>
  </si>
  <si>
    <t>http://explorer.natureserve.org/servlet/NatureServe?searchSpeciesUid=ELEMENT_GLOBAL.2.113472</t>
  </si>
  <si>
    <t>http://explorer.natureserve.org/servlet/NatureServe?searchSpeciesUid=ELEMENT_GLOBAL.2.116534</t>
  </si>
  <si>
    <t>http://explorer.natureserve.org/servlet/NatureServe?searchSpeciesUid=ELEMENT_GLOBAL.2.100100</t>
  </si>
  <si>
    <t>(HV)</t>
  </si>
  <si>
    <t>http://explorer.natureserve.org/servlet/NatureServe?searchSpeciesUid=ELEMENT_GLOBAL.2.103285</t>
  </si>
  <si>
    <t>http://explorer.natureserve.org/servlet/NatureServe?searchSpeciesUid=ELEMENT_GLOBAL.2.103197</t>
  </si>
  <si>
    <t>http://explorer.natureserve.org/servlet/NatureServe?searchSpeciesUid=ELEMENT_GLOBAL.2.116157</t>
  </si>
  <si>
    <t>http://explorer.natureserve.org/servlet/NatureServe?searchSpeciesUid=ELEMENT_GLOBAL.2.118488</t>
  </si>
  <si>
    <t>http://explorer.natureserve.org/servlet/NatureServe?searchSpeciesUid=ELEMENT_GLOBAL.2.142676</t>
  </si>
  <si>
    <t>http://explorer.natureserve.org/servlet/NatureServe?searchSpeciesUid=ELEMENT_GLOBAL.2.119230</t>
  </si>
  <si>
    <t>http://explorer.natureserve.org/servlet/NatureServe?searchSpeciesUid=ELEMENT_GLOBAL.2.145708</t>
  </si>
  <si>
    <t>Aster borealis = Symphyotrichum boreale</t>
  </si>
  <si>
    <t>Rush aster</t>
  </si>
  <si>
    <t>http://explorer.natureserve.org/servlet/NatureServe?searchSpeciesUid=ELEMENT_GLOBAL.2.155151</t>
  </si>
  <si>
    <t>Baptisia australis</t>
  </si>
  <si>
    <t>Blue wild indigo</t>
  </si>
  <si>
    <t>http://explorer.natureserve.org/servlet/NatureServe?searchSpeciesUid=ELEMENT_GLOBAL.2.147579</t>
  </si>
  <si>
    <t>http://explorer.natureserve.org/servlet/NatureServe?searchSpeciesUid=ELEMENT_GLOBAL.2.107166</t>
  </si>
  <si>
    <t>http://explorer.natureserve.org/servlet/NatureServe?searchSpeciesUid=ELEMENT_GLOBAL.2.768861</t>
  </si>
  <si>
    <t>Boltonia montana</t>
  </si>
  <si>
    <t>Appalachian Mountain Boltonia</t>
  </si>
  <si>
    <t>Bouteloua curtipendula</t>
  </si>
  <si>
    <t>Sideoats gramma</t>
  </si>
  <si>
    <t>http://explorer.natureserve.org/servlet/NatureServe?searchSpeciesUid=ELEMENT_GLOBAL.2.115408</t>
  </si>
  <si>
    <t>http://explorer.natureserve.org/servlet/NatureServe?searchSpeciesUid=ELEMENT_GLOBAL.2.137794</t>
  </si>
  <si>
    <t>Santalaceae</t>
  </si>
  <si>
    <t>Buckleya distichophylla</t>
  </si>
  <si>
    <t>Piratebush</t>
  </si>
  <si>
    <t>http://explorer.natureserve.org/servlet/NatureServe?searchSpeciesUid=ELEMENT_GLOBAL.2.118462</t>
  </si>
  <si>
    <t>not in NatureServe Explorer</t>
  </si>
  <si>
    <t>http://explorer.natureserve.org/servlet/NatureServe?searchSpeciesUid=ELEMENT_GLOBAL.2.120989</t>
  </si>
  <si>
    <t>http://explorer.natureserve.org/servlet/NatureServe?searchSpeciesUid=ELEMENT_GLOBAL.2.117847</t>
  </si>
  <si>
    <t>http://explorer.natureserve.org/servlet/NatureServe?searchSpeciesUid=ELEMENT_GLOBAL.2.112361</t>
  </si>
  <si>
    <t>http://explorer.natureserve.org/servlet/NatureServe?searchSpeciesUid=ELEMENT_GLOBAL.2.107344</t>
  </si>
  <si>
    <t>http://explorer.natureserve.org/servlet/NatureServe?searchSpeciesUid=ELEMENT_GLOBAL.2.116252</t>
  </si>
  <si>
    <t>http://explorer.natureserve.org/servlet/NatureServe?searchSpeciesUid=ELEMENT_GLOBAL.2.113406</t>
  </si>
  <si>
    <t>http://explorer.natureserve.org/servlet/NatureServe?searchSpeciesUid=ELEMENT_GLOBAL.2.111736</t>
  </si>
  <si>
    <t>http://explorer.natureserve.org/servlet/NatureServe?searchSpeciesUid=ELEMENT_GLOBAL.2.107950</t>
  </si>
  <si>
    <t>http://explorer.natureserve.org/servlet/NatureServe?searchSpeciesUid=ELEMENT_GLOBAL.2.106966</t>
  </si>
  <si>
    <t>http://explorer.natureserve.org/servlet/NatureServe?searchSpeciesUid=ELEMENT_GLOBAL.2.907126</t>
  </si>
  <si>
    <t>http://explorer.natureserve.org/servlet/NatureServe?searchSpeciesUid=ELEMENT_GLOBAL.2.120990</t>
  </si>
  <si>
    <t>http://explorer.natureserve.org/servlet/NatureServe?searchSpeciesUid=ELEMENT_GLOBAL.2.119937</t>
  </si>
  <si>
    <t>Caprimulgus carolinensis = Antrostomus carolinensis</t>
  </si>
  <si>
    <t>http://explorer.natureserve.org/servlet/NatureServe?searchSpeciesUid=ELEMENT_GLOBAL.2.871696</t>
  </si>
  <si>
    <t>Caprimulgus vociferus = Antrostomus vociferus</t>
  </si>
  <si>
    <t>http://explorer.natureserve.org/servlet/NatureServe?searchSpeciesUid=ELEMENT_GLOBAL.2.128995</t>
  </si>
  <si>
    <t>Carex alopecoidea</t>
  </si>
  <si>
    <t>Foxtail Sedge</t>
  </si>
  <si>
    <t>http://explorer.natureserve.org/servlet/NatureServe?searchSpeciesUid=ELEMENT_GLOBAL.2.131510</t>
  </si>
  <si>
    <t>Carex aquatilis</t>
  </si>
  <si>
    <t>Water Sedge</t>
  </si>
  <si>
    <t>http://explorer.natureserve.org/servlet/NatureServe?searchSpeciesUid=ELEMENT_GLOBAL.2.156628</t>
  </si>
  <si>
    <t>Carex diandra</t>
  </si>
  <si>
    <t>Lesser Panicled Sedge</t>
  </si>
  <si>
    <t>http://explorer.natureserve.org/servlet/NatureServe?searchSpeciesUid=ELEMENT_GLOBAL.2.152178</t>
  </si>
  <si>
    <t>Carex formosa</t>
  </si>
  <si>
    <t>Handsome Sedge</t>
  </si>
  <si>
    <t>http://explorer.natureserve.org/servlet/NatureServe?searchSpeciesUid=ELEMENT_GLOBAL.2.130368</t>
  </si>
  <si>
    <t>Carex haydenii</t>
  </si>
  <si>
    <t>Cloud Sedge</t>
  </si>
  <si>
    <t>http://explorer.natureserve.org/servlet/NatureServe?searchSpeciesUid=ELEMENT_GLOBAL.2.155684</t>
  </si>
  <si>
    <t>Carex lupuliformis</t>
  </si>
  <si>
    <t>Hop-like Sedge</t>
  </si>
  <si>
    <t>Carex paupercula = Carex magellanica ssp. irrigua</t>
  </si>
  <si>
    <t>http://explorer.natureserve.org/servlet/NatureServe?searchSpeciesUid=ELEMENT_GLOBAL.2.128460</t>
  </si>
  <si>
    <t>Variable Sedge</t>
  </si>
  <si>
    <t>http://explorer.natureserve.org/servlet/NatureServe?searchSpeciesUid=ELEMENT_GLOBAL.2.128309</t>
  </si>
  <si>
    <t>Carex pseudocyperus</t>
  </si>
  <si>
    <t>Cyperus-like Sedge</t>
  </si>
  <si>
    <t>http://explorer.natureserve.org/servlet/NatureServe?searchSpeciesUid=ELEMENT_GLOBAL.2.145976</t>
  </si>
  <si>
    <t>Carex tuckermanii</t>
  </si>
  <si>
    <t>Tuckerman's Sedge</t>
  </si>
  <si>
    <t>http://explorer.natureserve.org/servlet/NatureServe?searchSpeciesUid=ELEMENT_GLOBAL.2.145110</t>
  </si>
  <si>
    <t>Carex woodii</t>
  </si>
  <si>
    <t>Wood's Sedge</t>
  </si>
  <si>
    <t>Scrophulariaceae</t>
  </si>
  <si>
    <t>Castilleja coccinea</t>
  </si>
  <si>
    <t>Scarlet Indian Paintbrush</t>
  </si>
  <si>
    <t>http://explorer.natureserve.org/servlet/NatureServe?searchSpeciesUid=ELEMENT_GLOBAL.2.100960</t>
  </si>
  <si>
    <t>http://explorer.natureserve.org/servlet/NatureServe?searchSpeciesUid=ELEMENT_GLOBAL.2.111826</t>
  </si>
  <si>
    <t>http://explorer.natureserve.org/servlet/NatureServe?searchSpeciesUid=ELEMENT_GLOBAL.2.109842</t>
  </si>
  <si>
    <t>Appalachian Tiger Beetle</t>
  </si>
  <si>
    <t>http://explorer.natureserve.org/servlet/NatureServe?searchSpeciesUid=ELEMENT_GLOBAL.2.101069</t>
  </si>
  <si>
    <t>Clintonia borealis</t>
  </si>
  <si>
    <t>Bluebead</t>
  </si>
  <si>
    <t>http://explorer.natureserve.org/servlet/NatureServe?searchSpeciesUid=ELEMENT_GLOBAL.2.117126</t>
  </si>
  <si>
    <t>http://explorer.natureserve.org/servlet/NatureServe?searchSpeciesUid=ELEMENT_GLOBAL.2.128286</t>
  </si>
  <si>
    <t>Comarum palustre</t>
  </si>
  <si>
    <t>Marsh Cinquefoil</t>
  </si>
  <si>
    <t>http://explorer.natureserve.org/servlet/NatureServe?searchSpeciesUid=ELEMENT_GLOBAL.2.137943</t>
  </si>
  <si>
    <t>Conioselinum chinense</t>
  </si>
  <si>
    <t>Hemlock-parsley</t>
  </si>
  <si>
    <t>http://explorer.natureserve.org/servlet/NatureServe?searchSpeciesUid=ELEMENT_GLOBAL.2.154777</t>
  </si>
  <si>
    <t>Coptis trifolia</t>
  </si>
  <si>
    <t>Goldthread</t>
  </si>
  <si>
    <t>http://explorer.natureserve.org/servlet/NatureServe?searchSpeciesUid=ELEMENT_GLOBAL.2.134693</t>
  </si>
  <si>
    <t>(MV/HV)</t>
  </si>
  <si>
    <t>http://explorer.natureserve.org/servlet/NatureServe?searchSpeciesUid=ELEMENT_GLOBAL.2.100716</t>
  </si>
  <si>
    <t>http://explorer.natureserve.org/servlet/NatureServe?searchSpeciesUid=ELEMENT_GLOBAL.2.101449</t>
  </si>
  <si>
    <t>http://explorer.natureserve.org/servlet/NatureServe?searchSpeciesUid=ELEMENT_GLOBAL.2.872109</t>
  </si>
  <si>
    <t>http://explorer.natureserve.org/servlet/NatureServe?searchSpeciesUid=ELEMENT_GLOBAL.2.104822</t>
  </si>
  <si>
    <t>http://explorer.natureserve.org/servlet/NatureServe?searchSpeciesUid=ELEMENT_GLOBAL.2.111604</t>
  </si>
  <si>
    <t>http://explorer.natureserve.org/servlet/NatureServe?searchSpeciesUid=ELEMENT_GLOBAL.2.105749</t>
  </si>
  <si>
    <t>http://explorer.natureserve.org/servlet/NatureServe?searchSpeciesUid=ELEMENT_GLOBAL.2.132339</t>
  </si>
  <si>
    <t>Cymophyllus fraserianus</t>
  </si>
  <si>
    <t>Fraser's sedge</t>
  </si>
  <si>
    <t>http://explorer.natureserve.org/servlet/NatureServe?searchSpeciesUid=ELEMENT_GLOBAL.2.157660</t>
  </si>
  <si>
    <t>Cypripedium candidum</t>
  </si>
  <si>
    <t>Small White Lady's-slipper</t>
  </si>
  <si>
    <t>http://explorer.natureserve.org/servlet/NatureServe?searchSpeciesUid=ELEMENT_GLOBAL.2.159904</t>
  </si>
  <si>
    <t>Cypripedium reginae</t>
  </si>
  <si>
    <t>Showy Lady's-slipper</t>
  </si>
  <si>
    <t>http://explorer.natureserve.org/servlet/NatureServe?searchSpeciesUid=ELEMENT_GLOBAL.2.110462</t>
  </si>
  <si>
    <t>Dalibarda repens = Rubus repens</t>
  </si>
  <si>
    <t>Dendroica cerulea = Setophaga cerulea</t>
  </si>
  <si>
    <t>http://explorer.natureserve.org/servlet/NatureServe?searchSpeciesUid=ELEMENT_GLOBAL.2.147692</t>
  </si>
  <si>
    <t>Smooth purple cone flower</t>
  </si>
  <si>
    <t>http://explorer.natureserve.org/servlet/NatureServe?searchSpeciesUid=ELEMENT_GLOBAL.2.136790</t>
  </si>
  <si>
    <t>http://explorer.natureserve.org/servlet/NatureServe?searchSpeciesUid=ELEMENT_GLOBAL.2.131213</t>
  </si>
  <si>
    <t>Eleocharis quinqueflora</t>
  </si>
  <si>
    <t>Few-flower Spike-rush</t>
  </si>
  <si>
    <t>http://explorer.natureserve.org/servlet/NatureServe?searchSpeciesUid=ELEMENT_GLOBAL.2.118738</t>
  </si>
  <si>
    <t>http://explorer.natureserve.org/servlet/NatureServe?searchSpeciesUid=ELEMENT_GLOBAL.2.138874</t>
  </si>
  <si>
    <t>Sphenophyta</t>
  </si>
  <si>
    <t>Equisetopsida</t>
  </si>
  <si>
    <t>Equisetales</t>
  </si>
  <si>
    <t>Equisetaceae</t>
  </si>
  <si>
    <t>Lower Plants</t>
  </si>
  <si>
    <t>Equisetum variegatum</t>
  </si>
  <si>
    <t>Variegated Horsetail</t>
  </si>
  <si>
    <t>http://explorer.natureserve.org/servlet/NatureServe?searchSpeciesUid=ELEMENT_GLOBAL.2.135585</t>
  </si>
  <si>
    <t>Polygonales</t>
  </si>
  <si>
    <t>Polygonaceae</t>
  </si>
  <si>
    <t>Eriogonum allenii</t>
  </si>
  <si>
    <t>Shale barren buckwheat</t>
  </si>
  <si>
    <t>http://explorer.natureserve.org/servlet/NatureServe?searchSpeciesUid=ELEMENT_GLOBAL.2.154772</t>
  </si>
  <si>
    <t>http://explorer.natureserve.org/servlet/NatureServe?searchSpeciesUid=ELEMENT_GLOBAL.2.106551</t>
  </si>
  <si>
    <t>http://explorer.natureserve.org/servlet/NatureServe?searchSpeciesUid=ELEMENT_GLOBAL.2.105680</t>
  </si>
  <si>
    <t>Eumeces fasciatus = Plestiodon fasciatus</t>
  </si>
  <si>
    <t>Eumeces anthracinus = Plestiodon anthracinus</t>
  </si>
  <si>
    <t>http://explorer.natureserve.org/servlet/NatureServe?searchSpeciesUid=ELEMENT_GLOBAL.2.155385</t>
  </si>
  <si>
    <t>http://explorer.natureserve.org/servlet/NatureServe?searchSpeciesUid=ELEMENT_GLOBAL.2.159702</t>
  </si>
  <si>
    <t>Euphydryas phaeton</t>
  </si>
  <si>
    <t>Baltimore checkerspot</t>
  </si>
  <si>
    <t>http://explorer.natureserve.org/servlet/NatureServe?searchSpeciesUid=ELEMENT_GLOBAL.2.114898</t>
  </si>
  <si>
    <t>http://explorer.natureserve.org/servlet/NatureServe?searchSpeciesUid=ELEMENT_GLOBAL.2.102654</t>
  </si>
  <si>
    <t>http://explorer.natureserve.org/servlet/NatureServe?searchSpeciesUid=ELEMENT_GLOBAL.2.106957</t>
  </si>
  <si>
    <t>http://explorer.natureserve.org/servlet/NatureServe?searchSpeciesUid=ELEMENT_GLOBAL.2.131123</t>
  </si>
  <si>
    <t>Filipendula rubra</t>
  </si>
  <si>
    <t>Queen-of-the prairie</t>
  </si>
  <si>
    <t>http://explorer.natureserve.org/servlet/NatureServe?searchSpeciesUid=ELEMENT_GLOBAL.2.120302</t>
  </si>
  <si>
    <t>http://explorer.natureserve.org/servlet/NatureServe?searchSpeciesUid=ELEMENT_GLOBAL.2.109569</t>
  </si>
  <si>
    <t>http://explorer.natureserve.org/servlet/NatureServe?searchSpeciesUid=ELEMENT_GLOBAL.2.132115</t>
  </si>
  <si>
    <t>Galium labradoricum</t>
  </si>
  <si>
    <t>Labrador Marsh Bedstraw</t>
  </si>
  <si>
    <t>http://explorer.natureserve.org/servlet/NatureServe?searchSpeciesUid=ELEMENT_GLOBAL.2.144845</t>
  </si>
  <si>
    <t>http://explorer.natureserve.org/servlet/NatureServe?searchSpeciesUid=ELEMENT_GLOBAL.2.142616</t>
  </si>
  <si>
    <t>Galium trifidum</t>
  </si>
  <si>
    <t>Small Bedstraw</t>
  </si>
  <si>
    <t>http://explorer.natureserve.org/servlet/NatureServe?searchSpeciesUid=ELEMENT_GLOBAL.2.132611</t>
  </si>
  <si>
    <t>Gaylussacia brachycera</t>
  </si>
  <si>
    <t>Box huckleberry</t>
  </si>
  <si>
    <t>http://explorer.natureserve.org/servlet/NatureServe?searchSpeciesUid=ELEMENT_GLOBAL.2.101609</t>
  </si>
  <si>
    <t>http://explorer.natureserve.org/servlet/NatureServe?searchSpeciesUid=ELEMENT_GLOBAL.2.145898</t>
  </si>
  <si>
    <t>Glyceria borealis</t>
  </si>
  <si>
    <t>Small Floating Manna Grass</t>
  </si>
  <si>
    <t>http://explorer.natureserve.org/servlet/NatureServe?searchSpeciesUid=ELEMENT_GLOBAL.2.116563</t>
  </si>
  <si>
    <t>http://explorer.natureserve.org/servlet/NatureServe?searchSpeciesUid=ELEMENT_GLOBAL.2.101890</t>
  </si>
  <si>
    <t>http://explorer.natureserve.org/servlet/NatureServe?searchSpeciesUid=ELEMENT_GLOBAL.2.120887</t>
  </si>
  <si>
    <t>http://explorer.natureserve.org/servlet/NatureServe?searchSpeciesUid=ELEMENT_GLOBAL.2.106909</t>
  </si>
  <si>
    <t>http://explorer.natureserve.org/servlet/NatureServe?searchSpeciesUid=ELEMENT_GLOBAL.2.115829</t>
  </si>
  <si>
    <t>http://explorer.natureserve.org/servlet/NatureServe?searchSpeciesUid=ELEMENT_GLOBAL.2.134817</t>
  </si>
  <si>
    <t>Helenium virginicum</t>
  </si>
  <si>
    <t>Virginia Sneezeweed</t>
  </si>
  <si>
    <t>http://explorer.natureserve.org/servlet/NatureServe?searchSpeciesUid=ELEMENT_GLOBAL.2.151923</t>
  </si>
  <si>
    <t>Helonias bullata</t>
  </si>
  <si>
    <t>Swamp Pink</t>
  </si>
  <si>
    <t>http://explorer.natureserve.org/servlet/NatureServe?searchSpeciesUid=ELEMENT_GLOBAL.2.153791</t>
  </si>
  <si>
    <t>Appalachian Fir-clubmoss</t>
  </si>
  <si>
    <t>Hygrotus sylvanus = Coelambus sylvanus</t>
  </si>
  <si>
    <t>http://explorer.natureserve.org/servlet/NatureServe?searchSpeciesUid=ELEMENT_GLOBAL.2.151639</t>
  </si>
  <si>
    <t>Hypericum majus</t>
  </si>
  <si>
    <t>Larger Canadian St. John's Wort</t>
  </si>
  <si>
    <t>http://explorer.natureserve.org/servlet/NatureServe?searchSpeciesUid=ELEMENT_GLOBAL.2.153400</t>
  </si>
  <si>
    <t>Hypericum mitchellianum</t>
  </si>
  <si>
    <t>Blue Ridge St. Johnswort</t>
  </si>
  <si>
    <t>http://explorer.natureserve.org/servlet/NatureServe?searchSpeciesUid=ELEMENT_GLOBAL.2.154417</t>
  </si>
  <si>
    <t>http://explorer.natureserve.org/servlet/NatureServe?searchSpeciesUid=ELEMENT_GLOBAL.2.113398</t>
  </si>
  <si>
    <t>http://explorer.natureserve.org/servlet/NatureServe?searchSpeciesUid=ELEMENT_GLOBAL.2.115155</t>
  </si>
  <si>
    <t>http://explorer.natureserve.org/servlet/NatureServe?searchSpeciesUid=ELEMENT_GLOBAL.2.140874</t>
  </si>
  <si>
    <t>http://explorer.natureserve.org/servlet/NatureServe?searchSpeciesUid=ELEMENT_GLOBAL.2.119708</t>
  </si>
  <si>
    <t>http://explorer.natureserve.org/servlet/NatureServe?searchSpeciesUid=ELEMENT_GLOBAL.2.110793</t>
  </si>
  <si>
    <t>http://explorer.natureserve.org/servlet/NatureServe?searchSpeciesUid=ELEMENT_GLOBAL.2.110020</t>
  </si>
  <si>
    <t>http://explorer.natureserve.org/servlet/NatureServe?searchSpeciesUid=ELEMENT_GLOBAL.2.114659</t>
  </si>
  <si>
    <t>http://explorer.natureserve.org/servlet/NatureServe?searchSpeciesUid=ELEMENT_GLOBAL.2.102567</t>
  </si>
  <si>
    <t>http://explorer.natureserve.org/servlet/NatureServe?searchSpeciesUid=ELEMENT_GLOBAL.2.160391</t>
  </si>
  <si>
    <t>http://explorer.natureserve.org/servlet/NatureServe?searchSpeciesUid=ELEMENT_GLOBAL.2.147866</t>
  </si>
  <si>
    <t>Leiophyllum buxifolium</t>
  </si>
  <si>
    <t>Sand-myrtle</t>
  </si>
  <si>
    <t>http://explorer.natureserve.org/servlet/NatureServe?searchSpeciesUid=ELEMENT_GLOBAL.2.117637</t>
  </si>
  <si>
    <t>http://explorer.natureserve.org/servlet/NatureServe?searchSpeciesUid=ELEMENT_GLOBAL.2.103917</t>
  </si>
  <si>
    <t>http://explorer.natureserve.org/servlet/NatureServe?searchSpeciesUid=ELEMENT_GLOBAL.2.103514</t>
  </si>
  <si>
    <t>http://explorer.natureserve.org/servlet/NatureServe?searchSpeciesUid=ELEMENT_GLOBAL.2.116371</t>
  </si>
  <si>
    <t>http://explorer.natureserve.org/servlet/NatureServe?searchSpeciesUid=ELEMENT_GLOBAL.2.104422</t>
  </si>
  <si>
    <t>http://explorer.natureserve.org/servlet/NatureServe?searchSpeciesUid=ELEMENT_GLOBAL.2.128656</t>
  </si>
  <si>
    <t>Martes pennanti = Pekania pennanti</t>
  </si>
  <si>
    <t>http://explorer.natureserve.org/servlet/NatureServe?searchSpeciesUid=ELEMENT_GLOBAL.2.117900</t>
  </si>
  <si>
    <t>http://explorer.natureserve.org/servlet/NatureServe?searchSpeciesUid=ELEMENT_GLOBAL.2.147252</t>
  </si>
  <si>
    <t>Megalodonta beckii</t>
  </si>
  <si>
    <t>Water-marigold</t>
  </si>
  <si>
    <t>http://explorer.natureserve.org/servlet/NatureServe?searchSpeciesUid=ELEMENT_GLOBAL.2.105684</t>
  </si>
  <si>
    <t>http://explorer.natureserve.org/servlet/NatureServe?searchSpeciesUid=ELEMENT_GLOBAL.2.144359</t>
  </si>
  <si>
    <t>http://explorer.natureserve.org/servlet/NatureServe?searchSpeciesUid=ELEMENT_GLOBAL.2.139000</t>
  </si>
  <si>
    <t>Small-footed Bat</t>
  </si>
  <si>
    <t>http://explorer.natureserve.org/servlet/NatureServe?searchSpeciesUid=ELEMENT_GLOBAL.2.150383</t>
  </si>
  <si>
    <t>Neobeckia aquatica = Armoracia lacustris</t>
  </si>
  <si>
    <t>Lake Water-cress</t>
  </si>
  <si>
    <t>G4?</t>
  </si>
  <si>
    <t>http://explorer.natureserve.org/servlet/NatureServe?searchSpeciesUid=ELEMENT_GLOBAL.2.104226</t>
  </si>
  <si>
    <t>http://explorer.natureserve.org/servlet/NatureServe?searchSpeciesUid=ELEMENT_GLOBAL.2.132750</t>
  </si>
  <si>
    <t>http://explorer.natureserve.org/servlet/NatureServe?searchSpeciesUid=ELEMENT_GLOBAL.2.107684</t>
  </si>
  <si>
    <t>http://explorer.natureserve.org/servlet/NatureServe?searchSpeciesUid=ELEMENT_GLOBAL.2.112938</t>
  </si>
  <si>
    <t>http://explorer.natureserve.org/servlet/NatureServe?searchSpeciesUid=ELEMENT_GLOBAL.2.113759</t>
  </si>
  <si>
    <t>http://explorer.natureserve.org/servlet/NatureServe?searchSpeciesUid=ELEMENT_GLOBAL.2.112669</t>
  </si>
  <si>
    <t>http://explorer.natureserve.org/servlet/NatureServe?searchSpeciesUid=ELEMENT_GLOBAL.2.146231</t>
  </si>
  <si>
    <t>Panicum boreale</t>
  </si>
  <si>
    <t>Northern Panic Grass</t>
  </si>
  <si>
    <t>http://explorer.natureserve.org/servlet/NatureServe?searchSpeciesUid=ELEMENT_GLOBAL.2.111628</t>
  </si>
  <si>
    <t>http://explorer.natureserve.org/servlet/NatureServe?searchSpeciesUid=ELEMENT_GLOBAL.2.107088</t>
  </si>
  <si>
    <t>http://explorer.natureserve.org/servlet/NatureServe?searchSpeciesUid=ELEMENT_GLOBAL.2.120283</t>
  </si>
  <si>
    <t>http://explorer.natureserve.org/servlet/NatureServe?searchSpeciesUid=ELEMENT_GLOBAL.2.144987</t>
  </si>
  <si>
    <t>Saxifragaceae</t>
  </si>
  <si>
    <t>Parnassia grandifolia</t>
  </si>
  <si>
    <t>Largeleaf grass-of-parnassus</t>
  </si>
  <si>
    <t>http://explorer.natureserve.org/servlet/NatureServe?searchSpeciesUid=ELEMENT_GLOBAL.2.117568</t>
  </si>
  <si>
    <t>http://explorer.natureserve.org/servlet/NatureServe?searchSpeciesUid=ELEMENT_GLOBAL.2.140694</t>
  </si>
  <si>
    <t>http://explorer.natureserve.org/servlet/NatureServe?searchSpeciesUid=ELEMENT_GLOBAL.2.110365</t>
  </si>
  <si>
    <t>http://explorer.natureserve.org/servlet/NatureServe?searchSpeciesUid=ELEMENT_GLOBAL.2.104310</t>
  </si>
  <si>
    <t>http://explorer.natureserve.org/servlet/NatureServe?searchSpeciesUid=ELEMENT_GLOBAL.2.143335</t>
  </si>
  <si>
    <t>Black Wpruce</t>
  </si>
  <si>
    <t>Red Spruce</t>
  </si>
  <si>
    <t>Black-backed Woodpecker</t>
  </si>
  <si>
    <t>American Three-toed Woodpecker</t>
  </si>
  <si>
    <t>http://explorer.natureserve.org/servlet/NatureServe?searchSpeciesUid=ELEMENT_GLOBAL.2.142013</t>
  </si>
  <si>
    <t>http://explorer.natureserve.org/servlet/NatureServe?searchSpeciesUid=ELEMENT_GLOBAL.2.821738</t>
  </si>
  <si>
    <t>http://explorer.natureserve.org/servlet/NatureServe?searchSpeciesUid=ELEMENT_GLOBAL.2.102159</t>
  </si>
  <si>
    <t>Plethodon hubrichti</t>
  </si>
  <si>
    <t>Peaks of Otter Salamander</t>
  </si>
  <si>
    <t>http://explorer.natureserve.org/servlet/NatureServe?searchSpeciesUid=ELEMENT_GLOBAL.2.101589</t>
  </si>
  <si>
    <t>http://explorer.natureserve.org/servlet/NatureServe?searchSpeciesUid=ELEMENT_GLOBAL.2.104349</t>
  </si>
  <si>
    <t>http://explorer.natureserve.org/servlet/NatureServe?searchSpeciesUid=ELEMENT_GLOBAL.2.101967</t>
  </si>
  <si>
    <t>http://explorer.natureserve.org/servlet/NatureServe?searchSpeciesUid=ELEMENT_GLOBAL.2.104446</t>
  </si>
  <si>
    <t>http://explorer.natureserve.org/servlet/NatureServe?searchSpeciesUid=ELEMENT_GLOBAL.2.117714</t>
  </si>
  <si>
    <t>Polemonium vanbruntiae</t>
  </si>
  <si>
    <t>Bog Jacob's Ladder</t>
  </si>
  <si>
    <t>http://explorer.natureserve.org/servlet/NatureServe?searchSpeciesUid=ELEMENT_GLOBAL.2.149368</t>
  </si>
  <si>
    <t>http://explorer.natureserve.org/servlet/NatureServe?searchSpeciesUid=ELEMENT_GLOBAL.2.108941</t>
  </si>
  <si>
    <t>http://explorer.natureserve.org/servlet/NatureServe?searchSpeciesUid=ELEMENT_GLOBAL.2.100372</t>
  </si>
  <si>
    <t>http://explorer.natureserve.org/servlet/NatureServe?searchSpeciesUid=ELEMENT_GLOBAL.2.104655</t>
  </si>
  <si>
    <t>http://explorer.natureserve.org/servlet/NatureServe?searchSpeciesUid=ELEMENT_GLOBAL.2.108581</t>
  </si>
  <si>
    <t>http://explorer.natureserve.org/servlet/NatureServe?searchSpeciesUid=ELEMENT_GLOBAL.2.117665</t>
  </si>
  <si>
    <t>http://explorer.natureserve.org/servlet/NatureServe?searchSpeciesUid=ELEMENT_GLOBAL.2.114968</t>
  </si>
  <si>
    <t>http://explorer.natureserve.org/servlet/NatureServe?searchSpeciesUid=ELEMENT_GLOBAL.2.117987</t>
  </si>
  <si>
    <t>http://explorer.natureserve.org/servlet/NatureServe?searchSpeciesUid=ELEMENT_GLOBAL.2.106586</t>
  </si>
  <si>
    <t>http://explorer.natureserve.org/servlet/NatureServe?searchSpeciesUid=ELEMENT_GLOBAL.2.121200</t>
  </si>
  <si>
    <t>http://explorer.natureserve.org/servlet/NatureServe?searchSpeciesUid=ELEMENT_GLOBAL.2.108345</t>
  </si>
  <si>
    <t>http://explorer.natureserve.org/servlet/NatureServe?searchSpeciesUid=ELEMENT_GLOBAL.2.114152</t>
  </si>
  <si>
    <t>http://explorer.natureserve.org/servlet/NatureServe?searchSpeciesUid=ELEMENT_GLOBAL.2.119494</t>
  </si>
  <si>
    <t>http://explorer.natureserve.org/servlet/NatureServe?searchSpeciesUid=ELEMENT_GLOBAL.2.118930</t>
  </si>
  <si>
    <t>http://explorer.natureserve.org/servlet/NatureServe?searchSpeciesUid=ELEMENT_GLOBAL.2.116622</t>
  </si>
  <si>
    <t>http://explorer.natureserve.org/servlet/NatureServe?searchSpeciesUid=ELEMENT_GLOBAL.2.110726</t>
  </si>
  <si>
    <t>http://explorer.natureserve.org/servlet/NatureServe?searchSpeciesUid=ELEMENT_GLOBAL.2.100990</t>
  </si>
  <si>
    <t>http://explorer.natureserve.org/servlet/NatureServe?searchSpeciesUid=ELEMENT_GLOBAL.2.161024</t>
  </si>
  <si>
    <t>http://explorer.natureserve.org/servlet/NatureServe?searchSpeciesUid=ELEMENT_GLOBAL.2.141413</t>
  </si>
  <si>
    <t>Rana sphenocephala = Lithobates septentrionalis</t>
  </si>
  <si>
    <t>http://explorer.natureserve.org/servlet/NatureServe?searchSpeciesUid=ELEMENT_GLOBAL.2.106137</t>
  </si>
  <si>
    <t>Reithrodontomys humulis</t>
  </si>
  <si>
    <t>Eastern Harvest Mouse</t>
  </si>
  <si>
    <t>Rhododendron groenlandicum = Ledum groenlandicum</t>
  </si>
  <si>
    <t>http://explorer.natureserve.org/servlet/NatureServe?searchSpeciesUid=ELEMENT_GLOBAL.2.149349</t>
  </si>
  <si>
    <t>Rhynchospora capillacea</t>
  </si>
  <si>
    <t>Capillary Beaked-rush</t>
  </si>
  <si>
    <t>http://explorer.natureserve.org/servlet/NatureServe?searchSpeciesUid=ELEMENT_GLOBAL.2.147762</t>
  </si>
  <si>
    <t>http://explorer.natureserve.org/servlet/NatureServe?searchSpeciesUid=ELEMENT_GLOBAL.2.131581</t>
  </si>
  <si>
    <t>Rudbeckia fulgida</t>
  </si>
  <si>
    <t>Orange Coneflower</t>
  </si>
  <si>
    <t>G5T4T5?</t>
  </si>
  <si>
    <t>http://explorer.natureserve.org/servlet/NatureServe?searchSpeciesUid=ELEMENT_GLOBAL.2.132174</t>
  </si>
  <si>
    <t>Sagittaria cuneata</t>
  </si>
  <si>
    <t>Arum-leaf Arrowhead</t>
  </si>
  <si>
    <t>http://explorer.natureserve.org/servlet/NatureServe?searchSpeciesUid=ELEMENT_GLOBAL.2.157829</t>
  </si>
  <si>
    <t>Salix lucida ssp. lucida</t>
  </si>
  <si>
    <t>Shining Willow</t>
  </si>
  <si>
    <t>http://explorer.natureserve.org/servlet/NatureServe?searchSpeciesUid=ELEMENT_GLOBAL.2.135178</t>
  </si>
  <si>
    <t>Salix pedicellaris</t>
  </si>
  <si>
    <t>Bog Willow</t>
  </si>
  <si>
    <t>Water Bulrush</t>
  </si>
  <si>
    <t>http://explorer.natureserve.org/servlet/NatureServe?searchSpeciesUid=ELEMENT_GLOBAL.2.139650</t>
  </si>
  <si>
    <t>Schoenoplectus torreyi</t>
  </si>
  <si>
    <t>Torrey's Bulrush</t>
  </si>
  <si>
    <t>http://explorer.natureserve.org/servlet/NatureServe?searchSpeciesUid=ELEMENT_GLOBAL.2.150401</t>
  </si>
  <si>
    <t>Seiurus motacilla = Parkesia motacilla</t>
  </si>
  <si>
    <t>http://explorer.natureserve.org/servlet/NatureServe?searchSpeciesUid=ELEMENT_GLOBAL.2.129815</t>
  </si>
  <si>
    <t>http://explorer.natureserve.org/servlet/NatureServe?searchSpeciesUid=ELEMENT_GLOBAL.2.144493</t>
  </si>
  <si>
    <t>Solidago randii = Solidago simplex var. randii</t>
  </si>
  <si>
    <t>http://explorer.natureserve.org/servlet/NatureServe?searchSpeciesUid=ELEMENT_GLOBAL.2.142749</t>
  </si>
  <si>
    <t>http://explorer.natureserve.org/servlet/NatureServe?searchSpeciesUid=ELEMENT_GLOBAL.2.101798</t>
  </si>
  <si>
    <t>http://explorer.natureserve.org/servlet/NatureServe?searchSpeciesUid=ELEMENT_GLOBAL.2.112513</t>
  </si>
  <si>
    <t>Speyeria diana</t>
  </si>
  <si>
    <t>Diana fritillary</t>
  </si>
  <si>
    <t>http://explorer.natureserve.org/servlet/NatureServe?searchSpeciesUid=ELEMENT_GLOBAL.2.114908</t>
  </si>
  <si>
    <t>http://explorer.natureserve.org/servlet/NatureServe?searchSpeciesUid=ELEMENT_GLOBAL.2.114022</t>
  </si>
  <si>
    <t>http://explorer.natureserve.org/servlet/NatureServe?searchSpeciesUid=ELEMENT_GLOBAL.2.135631</t>
  </si>
  <si>
    <t>http://explorer.natureserve.org/servlet/NatureServe?searchSpeciesUid=ELEMENT_GLOBAL.2.116001</t>
  </si>
  <si>
    <t>http://explorer.natureserve.org/servlet/NatureServe?searchSpeciesUid=ELEMENT_GLOBAL.2.116777</t>
  </si>
  <si>
    <t>http://explorer.natureserve.org/servlet/NatureServe?searchSpeciesUid=ELEMENT_GLOBAL.2.113064</t>
  </si>
  <si>
    <t>http://explorer.natureserve.org/servlet/NatureServe?searchSpeciesUid=ELEMENT_GLOBAL.2.109475</t>
  </si>
  <si>
    <t>http://explorer.natureserve.org/servlet/NatureServe?searchSpeciesUid=ELEMENT_GLOBAL.2.108929</t>
  </si>
  <si>
    <t>http://explorer.natureserve.org/servlet/NatureServe?searchSpeciesUid=ELEMENT_GLOBAL.2.114506</t>
  </si>
  <si>
    <t>http://explorer.natureserve.org/servlet/NatureServe?searchSpeciesUid=ELEMENT_GLOBAL.2.117335</t>
  </si>
  <si>
    <t>http://explorer.natureserve.org/servlet/NatureServe?searchSpeciesUid=ELEMENT_GLOBAL.2.122076</t>
  </si>
  <si>
    <t>Syntrichia ammonsiana = Tortula ammonsiana</t>
  </si>
  <si>
    <t>http://explorer.natureserve.org/servlet/NatureServe?searchSpeciesUid=ELEMENT_GLOBAL.2.132507</t>
  </si>
  <si>
    <t>http://explorer.natureserve.org/servlet/NatureServe?searchSpeciesUid=ELEMENT_GLOBAL.2.112359</t>
  </si>
  <si>
    <t>http://explorer.natureserve.org/servlet/NatureServe?searchSpeciesUid=ELEMENT_GLOBAL.2.145680</t>
  </si>
  <si>
    <t>Cupressaceae</t>
  </si>
  <si>
    <t>Thuja occidentalis</t>
  </si>
  <si>
    <t>Arborvitae</t>
  </si>
  <si>
    <t>http://explorer.natureserve.org/servlet/NatureServe?searchSpeciesUid=ELEMENT_GLOBAL.2.139222</t>
  </si>
  <si>
    <t>http://explorer.natureserve.org/servlet/NatureServe?searchSpeciesUid=ELEMENT_GLOBAL.2.157941</t>
  </si>
  <si>
    <t>http://explorer.natureserve.org/servlet/NatureServe?searchSpeciesUid=ELEMENT_GLOBAL.2.135893</t>
  </si>
  <si>
    <t>Juncaginaceae</t>
  </si>
  <si>
    <t>Triglochin maritima</t>
  </si>
  <si>
    <t>Seaside Arrow-grass</t>
  </si>
  <si>
    <t>http://explorer.natureserve.org/servlet/NatureServe?searchSpeciesUid=ELEMENT_GLOBAL.2.152540</t>
  </si>
  <si>
    <t>http://explorer.natureserve.org/servlet/NatureServe?searchSpeciesUid=ELEMENT_GLOBAL.2.114879</t>
  </si>
  <si>
    <t>http://explorer.natureserve.org/servlet/NatureServe?searchSpeciesUid=ELEMENT_GLOBAL.2.119555</t>
  </si>
  <si>
    <t>http://explorer.natureserve.org/servlet/NatureServe?searchSpeciesUid=ELEMENT_GLOBAL.2.113733</t>
  </si>
  <si>
    <t>http://explorer.natureserve.org/servlet/NatureServe?searchSpeciesUid=ELEMENT_GLOBAL.2.142297</t>
  </si>
  <si>
    <t>Trollius laxus ssp. laxus</t>
  </si>
  <si>
    <t>Spreading Globe Flower</t>
  </si>
  <si>
    <t>http://explorer.natureserve.org/servlet/NatureServe?searchSpeciesUid=ELEMENT_GLOBAL.2.145577</t>
  </si>
  <si>
    <t>Tsuga caroliniana</t>
  </si>
  <si>
    <t>Carolina hemlock</t>
  </si>
  <si>
    <t>http://explorer.natureserve.org/servlet/NatureServe?searchSpeciesUid=ELEMENT_GLOBAL.2.114196</t>
  </si>
  <si>
    <t>http://explorer.natureserve.org/servlet/NatureServe?searchSpeciesUid=ELEMENT_GLOBAL.2.129833</t>
  </si>
  <si>
    <t>Utricularia minor</t>
  </si>
  <si>
    <t>G4Q</t>
  </si>
  <si>
    <t>Vaccinium myrtilloides</t>
  </si>
  <si>
    <t>Velvetleaf blueberry</t>
  </si>
  <si>
    <t>http://explorer.natureserve.org/servlet/NatureServe?searchSpeciesUid=ELEMENT_GLOBAL.2.135521</t>
  </si>
  <si>
    <t>Veronica catenata</t>
  </si>
  <si>
    <t>Sessile Water-speedwell</t>
  </si>
  <si>
    <t>http://explorer.natureserve.org/servlet/NatureServe?searchSpeciesUid=ELEMENT_GLOBAL.2.106217</t>
  </si>
  <si>
    <t>Young et al. 2015:</t>
  </si>
  <si>
    <t>Schlesinger et al. 2011:</t>
  </si>
  <si>
    <t>Links to selected publications</t>
  </si>
  <si>
    <t>Central Appalachian Subregion</t>
  </si>
  <si>
    <t>Northern Barrens Tiger Beetle</t>
  </si>
  <si>
    <t>Natural Group 1</t>
  </si>
  <si>
    <t>Natural Group 2</t>
  </si>
  <si>
    <t>Major Habitat</t>
  </si>
  <si>
    <t>Detail of Central Appalachian subregion</t>
  </si>
  <si>
    <t xml:space="preserve">Each spreadsheet has a number of fields – </t>
  </si>
  <si>
    <t xml:space="preserve">These are the vulnerability ranks, in the columns denoting states: </t>
  </si>
  <si>
    <t>Searching for subsets of information:</t>
  </si>
  <si>
    <t xml:space="preserve">See the filter buttons. You can use these in two ways: </t>
  </si>
  <si>
    <t xml:space="preserve">Make sure you select “clear filters from” in all the columns you filtered before starting your next filter. If you don’t, you won’t get the right selection. </t>
  </si>
  <si>
    <t xml:space="preserve">You can filter by higher taxonomy: only plants, only animals (column A); only mammals (column C), etc. You can also click on filter to see all the choices in that column. </t>
  </si>
  <si>
    <t>Natural group 1 and 2: I added these for some groups of species that might be desired, but do not group together by taxonomy. For example, you can filter on “fishes” or “trees” or “herps”. There is some redundancy with the taxonomic columns; "Birds" in the natural groups column and “Aves” in the class column will give you the same results.</t>
  </si>
  <si>
    <r>
      <t>Vulnerability ranks:</t>
    </r>
    <r>
      <rPr>
        <sz val="11"/>
        <color rgb="FF000000"/>
        <rFont val="Calibri"/>
        <family val="2"/>
        <scheme val="minor"/>
      </rPr>
      <t xml:space="preserve"> </t>
    </r>
  </si>
  <si>
    <r>
      <t xml:space="preserve">Definitions:  </t>
    </r>
    <r>
      <rPr>
        <sz val="11"/>
        <color rgb="FF000000"/>
        <rFont val="Calibri"/>
        <family val="2"/>
        <scheme val="minor"/>
      </rPr>
      <t>(Young et al. 2011)</t>
    </r>
  </si>
  <si>
    <r>
      <t xml:space="preserve">Extremely Vulnerable: </t>
    </r>
    <r>
      <rPr>
        <sz val="11"/>
        <color rgb="FF000000"/>
        <rFont val="Calibri"/>
        <family val="2"/>
        <scheme val="minor"/>
      </rPr>
      <t>Abundance and/or range extent within geographical area assessed extremely likely to substantially decrease or disappear by 2050.</t>
    </r>
  </si>
  <si>
    <r>
      <t xml:space="preserve">Highly Vulnerable: </t>
    </r>
    <r>
      <rPr>
        <sz val="11"/>
        <color rgb="FF000000"/>
        <rFont val="Calibri"/>
        <family val="2"/>
        <scheme val="minor"/>
      </rPr>
      <t>Abundance and/or range extent within geographical area assessed likely to decrease significantly by 2050.</t>
    </r>
  </si>
  <si>
    <r>
      <t xml:space="preserve">Moderately Vulnerable: </t>
    </r>
    <r>
      <rPr>
        <sz val="11"/>
        <color rgb="FF000000"/>
        <rFont val="Calibri"/>
        <family val="2"/>
        <scheme val="minor"/>
      </rPr>
      <t>Abundance and/or range extent within geographical area</t>
    </r>
    <r>
      <rPr>
        <sz val="10.5"/>
        <color rgb="FF000000"/>
        <rFont val="Calibri"/>
        <family val="2"/>
        <scheme val="minor"/>
      </rPr>
      <t xml:space="preserve"> </t>
    </r>
  </si>
  <si>
    <r>
      <t xml:space="preserve">Not Vulnerable/Increase Likely: </t>
    </r>
    <r>
      <rPr>
        <sz val="11"/>
        <color rgb="FF000000"/>
        <rFont val="Calibri"/>
        <family val="2"/>
        <scheme val="minor"/>
      </rPr>
      <t>Available evidence suggests that abundance and/or range extent within geographical area assessed is likely to increase by 2050.</t>
    </r>
  </si>
  <si>
    <t xml:space="preserve">Young, B., E. Byers, K. Gravuer, K. Hall, G. Hammerson, and A. Redder. 2011. Guidelines for using the NatureServe climate change vulnerability index. Release 2.1. NatureServe, Arlington, VA. </t>
  </si>
  <si>
    <t>Arrhopalites sp3</t>
  </si>
  <si>
    <t>Cambarus dubius - Hallowe'en morph</t>
  </si>
  <si>
    <t>Cambarus dubius - Monroe blue</t>
  </si>
  <si>
    <t>Cambarus dubius - orange</t>
  </si>
  <si>
    <t>Cambarus dubius - Teays blue</t>
  </si>
  <si>
    <t>Cambarus monongalensis - mountains</t>
  </si>
  <si>
    <t>Cambarus monongalensis - plateau</t>
  </si>
  <si>
    <t>Cottus cognatus (C. robinsi proposed)</t>
  </si>
  <si>
    <t>Cottus sp1</t>
  </si>
  <si>
    <t>Crangonyx sp2</t>
  </si>
  <si>
    <t>Hemileuca sp. 1</t>
  </si>
  <si>
    <t>Islandiana sp. 1</t>
  </si>
  <si>
    <t>Litocampa sp1</t>
  </si>
  <si>
    <t>Papaipema sp.</t>
  </si>
  <si>
    <t>Prunus pumila var. depressa</t>
  </si>
  <si>
    <t>Pseudanophthalmus sp1</t>
  </si>
  <si>
    <t>Pseudanophthalmus sp2</t>
  </si>
  <si>
    <t>Pseudanophthalmus sp3</t>
  </si>
  <si>
    <t>Pseudotremia sp1</t>
  </si>
  <si>
    <t>* You can sort by any of the columns on the spreadsheet: click on the arrow of the column you want to sort; SORT ASCENDING OR SORT DESCENDING. Notice  the little up arrow in the filter box; this indicates that you have sorted on this column in ascending order.</t>
  </si>
  <si>
    <r>
      <t xml:space="preserve">Not Vulnerable/Presumed Stable: </t>
    </r>
    <r>
      <rPr>
        <sz val="11"/>
        <color rgb="FF000000"/>
        <rFont val="Calibri"/>
        <family val="2"/>
        <scheme val="minor"/>
      </rPr>
      <t>Available evidence does not suggest that abundance and/or range extent within the geographical area assessed will change (increase/decrease) substantially by 2050. Actual range boundaries may change.</t>
    </r>
  </si>
  <si>
    <t xml:space="preserve">       *Common name of species assessed</t>
  </si>
  <si>
    <t xml:space="preserve">      * Columns with vulnerability ranks by state, and a column for all assessments done in the Central Appalachian region of the LCC.</t>
  </si>
  <si>
    <t xml:space="preserve">      * Hyperlink to additional information on the species in NatureServe Explorer</t>
  </si>
  <si>
    <t xml:space="preserve">      * Conservation status rank</t>
  </si>
  <si>
    <t xml:space="preserve">       *Species scientific name</t>
  </si>
  <si>
    <t xml:space="preserve">       *Ad hoc search field for higher plants, lower plants, vertebrates, invertebrates</t>
  </si>
  <si>
    <t xml:space="preserve">       *Ad hoc search field for higher taxonomy</t>
  </si>
  <si>
    <t xml:space="preserve">       *Major habitat (terrestrial, aquatic, subterranean)</t>
  </si>
  <si>
    <t xml:space="preserve">SPECIES </t>
  </si>
  <si>
    <t>ASSESSED</t>
  </si>
  <si>
    <t>CLIMATE CHANGE VULNERABILITY RANKS OF SPECIES BY STATE</t>
  </si>
  <si>
    <t>ALL VULNERABILITY RANKS</t>
  </si>
  <si>
    <t>OTHER INFORMATION</t>
  </si>
  <si>
    <t>NATURESERVE CONSERVATION STATUS RANK</t>
  </si>
  <si>
    <t>AD HOC GROUPS</t>
  </si>
  <si>
    <t>MAJOR HABITAT</t>
  </si>
  <si>
    <t>HIGHER TAXONOMY</t>
  </si>
  <si>
    <t>Southern Appalachian study are used by A. Carroll (2011) (in red); Research subregion (in blue)</t>
  </si>
  <si>
    <r>
      <t>PA</t>
    </r>
    <r>
      <rPr>
        <b/>
        <vertAlign val="superscript"/>
        <sz val="10"/>
        <color theme="1"/>
        <rFont val="Arial"/>
        <family val="2"/>
      </rPr>
      <t>1</t>
    </r>
  </si>
  <si>
    <r>
      <t>NY</t>
    </r>
    <r>
      <rPr>
        <b/>
        <vertAlign val="superscript"/>
        <sz val="10"/>
        <rFont val="Arial"/>
        <family val="2"/>
      </rPr>
      <t>2</t>
    </r>
  </si>
  <si>
    <r>
      <t>WV</t>
    </r>
    <r>
      <rPr>
        <b/>
        <vertAlign val="superscript"/>
        <sz val="10"/>
        <rFont val="Arial"/>
        <family val="2"/>
      </rPr>
      <t>3</t>
    </r>
  </si>
  <si>
    <r>
      <t>VA</t>
    </r>
    <r>
      <rPr>
        <b/>
        <vertAlign val="superscript"/>
        <sz val="10"/>
        <color theme="1"/>
        <rFont val="Arial"/>
        <family val="2"/>
      </rPr>
      <t>4</t>
    </r>
  </si>
  <si>
    <r>
      <t>NJ</t>
    </r>
    <r>
      <rPr>
        <b/>
        <vertAlign val="superscript"/>
        <sz val="10"/>
        <color theme="1"/>
        <rFont val="Arial"/>
        <family val="2"/>
      </rPr>
      <t>5</t>
    </r>
  </si>
  <si>
    <t>ALL</t>
  </si>
  <si>
    <r>
      <t>Sneddon et al. 2015</t>
    </r>
    <r>
      <rPr>
        <b/>
        <vertAlign val="superscript"/>
        <sz val="11"/>
        <color theme="1"/>
        <rFont val="Calibri"/>
        <family val="2"/>
        <scheme val="minor"/>
      </rPr>
      <t>6</t>
    </r>
  </si>
  <si>
    <t>This spreadsheet is a subset of a larger data set that contains a compilation of climate change vulnerability scores for over 700 species in the Appalachian LCC.  These scores were developed by a number of researchers from several independent works that all used the NatureServe Climate Change Vulnerability Index. The assessment area for each of these projects was different; some were state-based (Byers and Norris 2011 – WV; Furedi et al. 2011 – PA; Ring et al. 2013 – NJ; Schlesinger et al. 2011 – NY), while others focused on the central Appalachian portion of the LCC (Sneddon et al. 2015)</t>
  </si>
  <si>
    <t xml:space="preserve">      * Higher taxonomy using scientific hierarchy</t>
  </si>
  <si>
    <r>
      <rPr>
        <vertAlign val="superscript"/>
        <sz val="11"/>
        <color rgb="FF000000"/>
        <rFont val="Calibri"/>
        <family val="2"/>
        <scheme val="minor"/>
      </rPr>
      <t>1</t>
    </r>
    <r>
      <rPr>
        <sz val="11"/>
        <color rgb="FF000000"/>
        <rFont val="Calibri"/>
        <family val="2"/>
        <scheme val="minor"/>
      </rPr>
      <t xml:space="preserve">Furedi, M., B. Leppo, M. Kowalski, T. Davis, and B. Eichelberger. 2011. Identifying species in Pennsylvania potentially vulnerable to climate change. Pennsylvania Natural Heritage Program, Western Pennsylvania Conservancy, Pittsburgh, PA. </t>
    </r>
  </si>
  <si>
    <r>
      <rPr>
        <vertAlign val="superscript"/>
        <sz val="11"/>
        <color rgb="FF000000"/>
        <rFont val="Calibri"/>
        <family val="2"/>
        <scheme val="minor"/>
      </rPr>
      <t>2</t>
    </r>
    <r>
      <rPr>
        <sz val="11"/>
        <color rgb="FF000000"/>
        <rFont val="Calibri"/>
        <family val="2"/>
        <scheme val="minor"/>
      </rPr>
      <t xml:space="preserve">Schlesinger, M.D., J.D. Corser, K.A. Perkins, and E.L. White. 2011. Vulnerability of at-risk species to climate change in New York. New York Natural Heritage Program, Albany, NY. </t>
    </r>
  </si>
  <si>
    <r>
      <rPr>
        <vertAlign val="superscript"/>
        <sz val="11"/>
        <color rgb="FF000000"/>
        <rFont val="Calibri"/>
        <family val="2"/>
        <scheme val="minor"/>
      </rPr>
      <t>3</t>
    </r>
    <r>
      <rPr>
        <sz val="11"/>
        <color rgb="FF000000"/>
        <rFont val="Calibri"/>
        <family val="2"/>
        <scheme val="minor"/>
      </rPr>
      <t xml:space="preserve">Byers, E. and S. Norris. 2011. Climate change vulnerability assessment of species of concern in West Virginia. West Virginia Division of Natural Resources, Elkins, WV. </t>
    </r>
  </si>
  <si>
    <r>
      <rPr>
        <vertAlign val="superscript"/>
        <sz val="11"/>
        <color rgb="FF000000"/>
        <rFont val="Calibri"/>
        <family val="2"/>
        <scheme val="minor"/>
      </rPr>
      <t>4</t>
    </r>
    <r>
      <rPr>
        <sz val="11"/>
        <color rgb="FF000000"/>
        <rFont val="Calibri"/>
        <family val="2"/>
        <scheme val="minor"/>
      </rPr>
      <t xml:space="preserve">Virginia Division of Natural Heritage. 2010. Climate change vulnerability scores for 41 species. Unpublished. </t>
    </r>
  </si>
  <si>
    <r>
      <rPr>
        <vertAlign val="superscript"/>
        <sz val="11"/>
        <color rgb="FF000000"/>
        <rFont val="Calibri"/>
        <family val="2"/>
        <scheme val="minor"/>
      </rPr>
      <t>5</t>
    </r>
    <r>
      <rPr>
        <sz val="11"/>
        <color rgb="FF000000"/>
        <rFont val="Calibri"/>
        <family val="2"/>
        <scheme val="minor"/>
      </rPr>
      <t xml:space="preserve">Ring, Richard M., Elizabeth A. Spencer, and Kathleen Strakosch Walz. 2013. Vulnerability of 70 Plant Species of Greatest Conservation Need to Climate Change in New Jersey. New York Natural Heritage Program, Albany, NY and New Jersey Natural Heritage Program, Department of Environmental Protection, Office of Natural Lands Management, Trenton, NJ, for NatureServe #DDCF-0F-001a, Arlington, VA. 38p. </t>
    </r>
  </si>
  <si>
    <r>
      <rPr>
        <vertAlign val="superscript"/>
        <sz val="11"/>
        <color rgb="FF000000"/>
        <rFont val="Calibri"/>
        <family val="2"/>
        <scheme val="minor"/>
      </rPr>
      <t>6</t>
    </r>
    <r>
      <rPr>
        <sz val="11"/>
        <color rgb="FF000000"/>
        <rFont val="Calibri"/>
        <family val="2"/>
        <scheme val="minor"/>
      </rPr>
      <t>Sneddon, L., H. Galbraith, M. Schlesinger, and B. Young. 2015. Climate change vulnerability analysis of selected species of the Appalachian LCC Region. NatureServe, Arlington, VA. (in prep).</t>
    </r>
  </si>
  <si>
    <r>
      <t>PS</t>
    </r>
    <r>
      <rPr>
        <vertAlign val="superscript"/>
        <sz val="10"/>
        <rFont val="Arial"/>
        <family val="2"/>
      </rPr>
      <t>3</t>
    </r>
  </si>
  <si>
    <r>
      <t>MV</t>
    </r>
    <r>
      <rPr>
        <vertAlign val="superscript"/>
        <sz val="10"/>
        <rFont val="Arial"/>
        <family val="2"/>
      </rPr>
      <t>3</t>
    </r>
  </si>
  <si>
    <r>
      <t>EV</t>
    </r>
    <r>
      <rPr>
        <vertAlign val="superscript"/>
        <sz val="10"/>
        <color theme="1"/>
        <rFont val="Arial"/>
        <family val="2"/>
      </rPr>
      <t>1</t>
    </r>
  </si>
  <si>
    <r>
      <t>EV</t>
    </r>
    <r>
      <rPr>
        <vertAlign val="superscript"/>
        <sz val="10"/>
        <rFont val="Arial"/>
        <family val="2"/>
      </rPr>
      <t>2</t>
    </r>
  </si>
  <si>
    <r>
      <t>MV</t>
    </r>
    <r>
      <rPr>
        <vertAlign val="superscript"/>
        <sz val="10"/>
        <rFont val="Arial"/>
        <family val="2"/>
      </rPr>
      <t>2</t>
    </r>
  </si>
  <si>
    <r>
      <t>MV</t>
    </r>
    <r>
      <rPr>
        <vertAlign val="superscript"/>
        <sz val="10"/>
        <color theme="1"/>
        <rFont val="Arial"/>
        <family val="2"/>
      </rPr>
      <t>6</t>
    </r>
  </si>
  <si>
    <r>
      <t>(EV</t>
    </r>
    <r>
      <rPr>
        <vertAlign val="superscript"/>
        <sz val="10"/>
        <rFont val="Arial"/>
        <family val="2"/>
      </rPr>
      <t>1</t>
    </r>
    <r>
      <rPr>
        <sz val="10"/>
        <rFont val="Arial"/>
        <family val="2"/>
      </rPr>
      <t>)</t>
    </r>
  </si>
  <si>
    <r>
      <t>(PS</t>
    </r>
    <r>
      <rPr>
        <vertAlign val="superscript"/>
        <sz val="10"/>
        <rFont val="Arial"/>
        <family val="2"/>
      </rPr>
      <t>3</t>
    </r>
    <r>
      <rPr>
        <sz val="10"/>
        <rFont val="Arial"/>
        <family val="2"/>
      </rPr>
      <t>)</t>
    </r>
  </si>
  <si>
    <r>
      <t>(MV)</t>
    </r>
    <r>
      <rPr>
        <vertAlign val="superscript"/>
        <sz val="10"/>
        <rFont val="Arial"/>
        <family val="2"/>
      </rPr>
      <t>3</t>
    </r>
  </si>
  <si>
    <r>
      <t>MV</t>
    </r>
    <r>
      <rPr>
        <vertAlign val="superscript"/>
        <sz val="10"/>
        <color theme="1"/>
        <rFont val="Arial"/>
        <family val="2"/>
      </rPr>
      <t>3</t>
    </r>
  </si>
  <si>
    <r>
      <t>IL</t>
    </r>
    <r>
      <rPr>
        <vertAlign val="superscript"/>
        <sz val="10"/>
        <rFont val="Arial"/>
        <family val="2"/>
      </rPr>
      <t>2</t>
    </r>
  </si>
  <si>
    <r>
      <t>PS</t>
    </r>
    <r>
      <rPr>
        <vertAlign val="superscript"/>
        <sz val="10"/>
        <color theme="1"/>
        <rFont val="Arial"/>
        <family val="2"/>
      </rPr>
      <t>4</t>
    </r>
  </si>
  <si>
    <r>
      <t>(PS)</t>
    </r>
    <r>
      <rPr>
        <vertAlign val="superscript"/>
        <sz val="10"/>
        <color theme="1"/>
        <rFont val="Arial"/>
        <family val="2"/>
      </rPr>
      <t>4</t>
    </r>
  </si>
  <si>
    <r>
      <t>HV</t>
    </r>
    <r>
      <rPr>
        <vertAlign val="superscript"/>
        <sz val="10"/>
        <color theme="1"/>
        <rFont val="Arial"/>
        <family val="2"/>
      </rPr>
      <t>1</t>
    </r>
  </si>
  <si>
    <r>
      <t>(HV</t>
    </r>
    <r>
      <rPr>
        <vertAlign val="superscript"/>
        <sz val="10"/>
        <color theme="1"/>
        <rFont val="Arial"/>
        <family val="2"/>
      </rPr>
      <t>1</t>
    </r>
    <r>
      <rPr>
        <sz val="10"/>
        <color theme="1"/>
        <rFont val="Arial"/>
        <family val="2"/>
      </rPr>
      <t>/EV</t>
    </r>
    <r>
      <rPr>
        <vertAlign val="superscript"/>
        <sz val="10"/>
        <color theme="1"/>
        <rFont val="Arial"/>
        <family val="2"/>
      </rPr>
      <t>2</t>
    </r>
    <r>
      <rPr>
        <sz val="10"/>
        <color theme="1"/>
        <rFont val="Arial"/>
        <family val="2"/>
      </rPr>
      <t>)</t>
    </r>
  </si>
  <si>
    <r>
      <t>(EV)</t>
    </r>
    <r>
      <rPr>
        <vertAlign val="superscript"/>
        <sz val="10"/>
        <color theme="1"/>
        <rFont val="Arial"/>
        <family val="2"/>
      </rPr>
      <t>3</t>
    </r>
  </si>
  <si>
    <r>
      <t>EV</t>
    </r>
    <r>
      <rPr>
        <vertAlign val="superscript"/>
        <sz val="10"/>
        <color theme="1"/>
        <rFont val="Arial"/>
        <family val="2"/>
      </rPr>
      <t>3</t>
    </r>
  </si>
  <si>
    <r>
      <t>PS</t>
    </r>
    <r>
      <rPr>
        <vertAlign val="superscript"/>
        <sz val="10"/>
        <color theme="1"/>
        <rFont val="Arial"/>
        <family val="2"/>
      </rPr>
      <t>5</t>
    </r>
  </si>
  <si>
    <r>
      <t>IL</t>
    </r>
    <r>
      <rPr>
        <vertAlign val="superscript"/>
        <sz val="10"/>
        <color theme="1"/>
        <rFont val="Arial"/>
        <family val="2"/>
      </rPr>
      <t>4</t>
    </r>
  </si>
  <si>
    <r>
      <t>(IL)</t>
    </r>
    <r>
      <rPr>
        <vertAlign val="superscript"/>
        <sz val="10"/>
        <color theme="1"/>
        <rFont val="Arial"/>
        <family val="2"/>
      </rPr>
      <t>3</t>
    </r>
  </si>
  <si>
    <r>
      <t>IL</t>
    </r>
    <r>
      <rPr>
        <vertAlign val="superscript"/>
        <sz val="10"/>
        <color theme="1"/>
        <rFont val="Arial"/>
        <family val="2"/>
      </rPr>
      <t>3</t>
    </r>
  </si>
  <si>
    <r>
      <t>HV</t>
    </r>
    <r>
      <rPr>
        <vertAlign val="superscript"/>
        <sz val="10"/>
        <rFont val="Arial"/>
        <family val="2"/>
      </rPr>
      <t>2</t>
    </r>
  </si>
  <si>
    <r>
      <t>(HV)</t>
    </r>
    <r>
      <rPr>
        <vertAlign val="superscript"/>
        <sz val="10"/>
        <rFont val="Arial"/>
        <family val="2"/>
      </rPr>
      <t>1</t>
    </r>
  </si>
  <si>
    <r>
      <t>HV</t>
    </r>
    <r>
      <rPr>
        <vertAlign val="superscript"/>
        <sz val="10"/>
        <color theme="1"/>
        <rFont val="Arial"/>
        <family val="2"/>
      </rPr>
      <t>3</t>
    </r>
  </si>
  <si>
    <r>
      <t>(HV)</t>
    </r>
    <r>
      <rPr>
        <vertAlign val="superscript"/>
        <sz val="10"/>
        <color theme="1"/>
        <rFont val="Arial"/>
        <family val="2"/>
      </rPr>
      <t>3</t>
    </r>
  </si>
  <si>
    <r>
      <t>PS</t>
    </r>
    <r>
      <rPr>
        <vertAlign val="superscript"/>
        <sz val="10"/>
        <rFont val="Arial"/>
        <family val="2"/>
      </rPr>
      <t>2</t>
    </r>
  </si>
  <si>
    <r>
      <t>IL</t>
    </r>
    <r>
      <rPr>
        <vertAlign val="superscript"/>
        <sz val="10"/>
        <color theme="1"/>
        <rFont val="Arial"/>
        <family val="2"/>
      </rPr>
      <t>1</t>
    </r>
  </si>
  <si>
    <r>
      <t>(PS</t>
    </r>
    <r>
      <rPr>
        <vertAlign val="superscript"/>
        <sz val="10"/>
        <color theme="1"/>
        <rFont val="Arial"/>
        <family val="2"/>
      </rPr>
      <t>1</t>
    </r>
    <r>
      <rPr>
        <sz val="10"/>
        <color theme="1"/>
        <rFont val="Arial"/>
        <family val="2"/>
      </rPr>
      <t>/IL</t>
    </r>
    <r>
      <rPr>
        <vertAlign val="superscript"/>
        <sz val="10"/>
        <color theme="1"/>
        <rFont val="Arial"/>
        <family val="2"/>
      </rPr>
      <t>3</t>
    </r>
    <r>
      <rPr>
        <sz val="10"/>
        <color theme="1"/>
        <rFont val="Arial"/>
        <family val="2"/>
      </rPr>
      <t>)</t>
    </r>
  </si>
  <si>
    <r>
      <t>MV</t>
    </r>
    <r>
      <rPr>
        <vertAlign val="superscript"/>
        <sz val="10"/>
        <color theme="1"/>
        <rFont val="Arial"/>
        <family val="2"/>
      </rPr>
      <t>5</t>
    </r>
  </si>
  <si>
    <r>
      <t>(EV)</t>
    </r>
    <r>
      <rPr>
        <vertAlign val="superscript"/>
        <sz val="10"/>
        <rFont val="Arial"/>
        <family val="2"/>
      </rPr>
      <t>1</t>
    </r>
  </si>
  <si>
    <r>
      <t>PS</t>
    </r>
    <r>
      <rPr>
        <vertAlign val="superscript"/>
        <sz val="10"/>
        <color theme="1"/>
        <rFont val="Arial"/>
        <family val="2"/>
      </rPr>
      <t>3</t>
    </r>
  </si>
  <si>
    <r>
      <t>(PS</t>
    </r>
    <r>
      <rPr>
        <vertAlign val="superscript"/>
        <sz val="10"/>
        <color theme="1"/>
        <rFont val="Arial"/>
        <family val="2"/>
      </rPr>
      <t>3</t>
    </r>
    <r>
      <rPr>
        <sz val="10"/>
        <color theme="1"/>
        <rFont val="Arial"/>
        <family val="2"/>
      </rPr>
      <t>/MV</t>
    </r>
    <r>
      <rPr>
        <vertAlign val="superscript"/>
        <sz val="10"/>
        <color theme="1"/>
        <rFont val="Arial"/>
        <family val="2"/>
      </rPr>
      <t>2</t>
    </r>
    <r>
      <rPr>
        <sz val="10"/>
        <color theme="1"/>
        <rFont val="Arial"/>
        <family val="2"/>
      </rPr>
      <t>)</t>
    </r>
  </si>
  <si>
    <r>
      <t>(PS)</t>
    </r>
    <r>
      <rPr>
        <vertAlign val="superscript"/>
        <sz val="10"/>
        <color theme="1"/>
        <rFont val="Arial"/>
        <family val="2"/>
      </rPr>
      <t>3</t>
    </r>
  </si>
  <si>
    <r>
      <t>PS</t>
    </r>
    <r>
      <rPr>
        <vertAlign val="superscript"/>
        <sz val="10"/>
        <color theme="1"/>
        <rFont val="Arial"/>
        <family val="2"/>
      </rPr>
      <t>6</t>
    </r>
  </si>
  <si>
    <r>
      <t>MV</t>
    </r>
    <r>
      <rPr>
        <vertAlign val="superscript"/>
        <sz val="10"/>
        <color theme="1"/>
        <rFont val="Arial"/>
        <family val="2"/>
      </rPr>
      <t>1</t>
    </r>
  </si>
  <si>
    <r>
      <t>(MV)</t>
    </r>
    <r>
      <rPr>
        <vertAlign val="superscript"/>
        <sz val="10"/>
        <color theme="1"/>
        <rFont val="Arial"/>
        <family val="2"/>
      </rPr>
      <t>1</t>
    </r>
  </si>
  <si>
    <r>
      <t>MV</t>
    </r>
    <r>
      <rPr>
        <vertAlign val="superscript"/>
        <sz val="10"/>
        <color theme="1"/>
        <rFont val="Arial"/>
        <family val="2"/>
      </rPr>
      <t>4</t>
    </r>
  </si>
  <si>
    <r>
      <t>(MV)</t>
    </r>
    <r>
      <rPr>
        <vertAlign val="superscript"/>
        <sz val="10"/>
        <color theme="1"/>
        <rFont val="Arial"/>
        <family val="2"/>
      </rPr>
      <t>4</t>
    </r>
  </si>
  <si>
    <r>
      <t>HV</t>
    </r>
    <r>
      <rPr>
        <vertAlign val="superscript"/>
        <sz val="10"/>
        <color theme="1"/>
        <rFont val="Arial"/>
        <family val="2"/>
      </rPr>
      <t>6</t>
    </r>
  </si>
  <si>
    <r>
      <t>HV</t>
    </r>
    <r>
      <rPr>
        <vertAlign val="superscript"/>
        <sz val="10"/>
        <color theme="1"/>
        <rFont val="Arial"/>
        <family val="2"/>
      </rPr>
      <t>4</t>
    </r>
  </si>
  <si>
    <r>
      <t>PS</t>
    </r>
    <r>
      <rPr>
        <vertAlign val="superscript"/>
        <sz val="10"/>
        <color theme="1"/>
        <rFont val="Arial"/>
        <family val="2"/>
      </rPr>
      <t>1</t>
    </r>
  </si>
  <si>
    <r>
      <t>(MV</t>
    </r>
    <r>
      <rPr>
        <vertAlign val="superscript"/>
        <sz val="10"/>
        <rFont val="Arial"/>
        <family val="2"/>
      </rPr>
      <t>1</t>
    </r>
    <r>
      <rPr>
        <sz val="10"/>
        <rFont val="Arial"/>
        <family val="2"/>
      </rPr>
      <t>/PS</t>
    </r>
    <r>
      <rPr>
        <vertAlign val="superscript"/>
        <sz val="10"/>
        <rFont val="Arial"/>
        <family val="2"/>
      </rPr>
      <t>3</t>
    </r>
    <r>
      <rPr>
        <sz val="10"/>
        <rFont val="Arial"/>
        <family val="2"/>
      </rPr>
      <t>)</t>
    </r>
  </si>
  <si>
    <r>
      <t>(MV)</t>
    </r>
    <r>
      <rPr>
        <vertAlign val="superscript"/>
        <sz val="10"/>
        <color theme="1"/>
        <rFont val="Arial"/>
        <family val="2"/>
      </rPr>
      <t>3</t>
    </r>
  </si>
  <si>
    <r>
      <t>HV</t>
    </r>
    <r>
      <rPr>
        <vertAlign val="superscript"/>
        <sz val="10"/>
        <color theme="1"/>
        <rFont val="Arial"/>
        <family val="2"/>
      </rPr>
      <t>5</t>
    </r>
  </si>
  <si>
    <r>
      <t>(MV)</t>
    </r>
    <r>
      <rPr>
        <vertAlign val="superscript"/>
        <sz val="10"/>
        <rFont val="Arial"/>
        <family val="2"/>
      </rPr>
      <t>1</t>
    </r>
  </si>
  <si>
    <r>
      <t>(HV)</t>
    </r>
    <r>
      <rPr>
        <vertAlign val="superscript"/>
        <sz val="10"/>
        <color theme="1"/>
        <rFont val="Arial"/>
        <family val="2"/>
      </rPr>
      <t>4</t>
    </r>
  </si>
  <si>
    <r>
      <t>EV</t>
    </r>
    <r>
      <rPr>
        <vertAlign val="superscript"/>
        <sz val="10"/>
        <color theme="1"/>
        <rFont val="Arial"/>
        <family val="2"/>
      </rPr>
      <t>6</t>
    </r>
  </si>
  <si>
    <r>
      <t>(PS</t>
    </r>
    <r>
      <rPr>
        <vertAlign val="superscript"/>
        <sz val="10"/>
        <color theme="1"/>
        <rFont val="Arial"/>
        <family val="2"/>
      </rPr>
      <t>1,2</t>
    </r>
    <r>
      <rPr>
        <sz val="10"/>
        <color theme="1"/>
        <rFont val="Arial"/>
        <family val="2"/>
      </rPr>
      <t>/MV</t>
    </r>
    <r>
      <rPr>
        <vertAlign val="superscript"/>
        <sz val="10"/>
        <color theme="1"/>
        <rFont val="Arial"/>
        <family val="2"/>
      </rPr>
      <t>3</t>
    </r>
    <r>
      <rPr>
        <sz val="10"/>
        <color theme="1"/>
        <rFont val="Arial"/>
        <family val="2"/>
      </rPr>
      <t>)</t>
    </r>
  </si>
  <si>
    <r>
      <t>(PS</t>
    </r>
    <r>
      <rPr>
        <vertAlign val="superscript"/>
        <sz val="10"/>
        <color theme="1"/>
        <rFont val="Arial"/>
        <family val="2"/>
      </rPr>
      <t>1</t>
    </r>
    <r>
      <rPr>
        <sz val="10"/>
        <color theme="1"/>
        <rFont val="Arial"/>
        <family val="2"/>
      </rPr>
      <t>/IL</t>
    </r>
    <r>
      <rPr>
        <vertAlign val="superscript"/>
        <sz val="10"/>
        <color theme="1"/>
        <rFont val="Arial"/>
        <family val="2"/>
      </rPr>
      <t>2</t>
    </r>
    <r>
      <rPr>
        <sz val="10"/>
        <color theme="1"/>
        <rFont val="Arial"/>
        <family val="2"/>
      </rPr>
      <t>)</t>
    </r>
  </si>
  <si>
    <r>
      <t>(PS)</t>
    </r>
    <r>
      <rPr>
        <vertAlign val="superscript"/>
        <sz val="10"/>
        <color theme="1"/>
        <rFont val="Arial"/>
        <family val="2"/>
      </rPr>
      <t>3,2</t>
    </r>
  </si>
  <si>
    <r>
      <t>(MV</t>
    </r>
    <r>
      <rPr>
        <vertAlign val="superscript"/>
        <sz val="10"/>
        <color theme="1"/>
        <rFont val="Arial"/>
        <family val="2"/>
      </rPr>
      <t>1</t>
    </r>
    <r>
      <rPr>
        <sz val="10"/>
        <color theme="1"/>
        <rFont val="Arial"/>
        <family val="2"/>
      </rPr>
      <t>/HV</t>
    </r>
    <r>
      <rPr>
        <vertAlign val="superscript"/>
        <sz val="10"/>
        <color theme="1"/>
        <rFont val="Arial"/>
        <family val="2"/>
      </rPr>
      <t>4</t>
    </r>
    <r>
      <rPr>
        <sz val="10"/>
        <color theme="1"/>
        <rFont val="Arial"/>
        <family val="2"/>
      </rPr>
      <t>)</t>
    </r>
  </si>
  <si>
    <r>
      <t>(HV</t>
    </r>
    <r>
      <rPr>
        <vertAlign val="superscript"/>
        <sz val="10"/>
        <color theme="1"/>
        <rFont val="Arial"/>
        <family val="2"/>
      </rPr>
      <t>2</t>
    </r>
    <r>
      <rPr>
        <sz val="10"/>
        <color theme="1"/>
        <rFont val="Arial"/>
        <family val="2"/>
      </rPr>
      <t>/EV</t>
    </r>
    <r>
      <rPr>
        <vertAlign val="superscript"/>
        <sz val="10"/>
        <color theme="1"/>
        <rFont val="Arial"/>
        <family val="2"/>
      </rPr>
      <t>3</t>
    </r>
    <r>
      <rPr>
        <sz val="10"/>
        <color theme="1"/>
        <rFont val="Arial"/>
        <family val="2"/>
      </rPr>
      <t>)</t>
    </r>
  </si>
  <si>
    <r>
      <t>(PS)</t>
    </r>
    <r>
      <rPr>
        <vertAlign val="superscript"/>
        <sz val="10"/>
        <color theme="1"/>
        <rFont val="Arial"/>
        <family val="2"/>
      </rPr>
      <t>1,2</t>
    </r>
  </si>
  <si>
    <r>
      <t>(EV)</t>
    </r>
    <r>
      <rPr>
        <vertAlign val="superscript"/>
        <sz val="10"/>
        <color theme="1"/>
        <rFont val="Arial"/>
        <family val="2"/>
      </rPr>
      <t>1,2</t>
    </r>
  </si>
  <si>
    <r>
      <t>(PS</t>
    </r>
    <r>
      <rPr>
        <vertAlign val="superscript"/>
        <sz val="10"/>
        <rFont val="Arial"/>
        <family val="2"/>
      </rPr>
      <t>1</t>
    </r>
    <r>
      <rPr>
        <sz val="10"/>
        <rFont val="Arial"/>
        <family val="2"/>
      </rPr>
      <t>/IL</t>
    </r>
    <r>
      <rPr>
        <vertAlign val="superscript"/>
        <sz val="10"/>
        <rFont val="Arial"/>
        <family val="2"/>
      </rPr>
      <t>3</t>
    </r>
    <r>
      <rPr>
        <sz val="10"/>
        <rFont val="Arial"/>
        <family val="2"/>
      </rPr>
      <t>)</t>
    </r>
  </si>
  <si>
    <r>
      <t>(PS</t>
    </r>
    <r>
      <rPr>
        <vertAlign val="superscript"/>
        <sz val="10"/>
        <color theme="1"/>
        <rFont val="Arial"/>
        <family val="2"/>
      </rPr>
      <t>1</t>
    </r>
    <r>
      <rPr>
        <sz val="10"/>
        <color theme="1"/>
        <rFont val="Arial"/>
        <family val="2"/>
      </rPr>
      <t>/MV</t>
    </r>
    <r>
      <rPr>
        <vertAlign val="superscript"/>
        <sz val="10"/>
        <color theme="1"/>
        <rFont val="Arial"/>
        <family val="2"/>
      </rPr>
      <t>3</t>
    </r>
    <r>
      <rPr>
        <sz val="10"/>
        <color theme="1"/>
        <rFont val="Arial"/>
        <family val="2"/>
      </rPr>
      <t>)</t>
    </r>
  </si>
  <si>
    <r>
      <t>(MV</t>
    </r>
    <r>
      <rPr>
        <vertAlign val="superscript"/>
        <sz val="10"/>
        <color theme="1"/>
        <rFont val="Arial"/>
        <family val="2"/>
      </rPr>
      <t>1</t>
    </r>
    <r>
      <rPr>
        <sz val="10"/>
        <color theme="1"/>
        <rFont val="Arial"/>
        <family val="2"/>
      </rPr>
      <t>/HV)</t>
    </r>
  </si>
  <si>
    <r>
      <t>(PS)</t>
    </r>
    <r>
      <rPr>
        <vertAlign val="superscript"/>
        <sz val="10"/>
        <rFont val="Arial"/>
        <family val="2"/>
      </rPr>
      <t>1</t>
    </r>
  </si>
  <si>
    <r>
      <t>(PS)</t>
    </r>
    <r>
      <rPr>
        <vertAlign val="superscript"/>
        <sz val="10"/>
        <color theme="1"/>
        <rFont val="Arial"/>
        <family val="2"/>
      </rPr>
      <t>2</t>
    </r>
  </si>
  <si>
    <r>
      <t>EV</t>
    </r>
    <r>
      <rPr>
        <vertAlign val="superscript"/>
        <sz val="10"/>
        <color theme="1"/>
        <rFont val="Arial"/>
        <family val="2"/>
      </rPr>
      <t>4</t>
    </r>
  </si>
  <si>
    <r>
      <t>(IL)</t>
    </r>
    <r>
      <rPr>
        <vertAlign val="superscript"/>
        <sz val="10"/>
        <rFont val="Arial"/>
        <family val="2"/>
      </rPr>
      <t>1</t>
    </r>
  </si>
  <si>
    <r>
      <t>(PS)</t>
    </r>
    <r>
      <rPr>
        <vertAlign val="superscript"/>
        <sz val="10"/>
        <color theme="1"/>
        <rFont val="Arial"/>
        <family val="2"/>
      </rPr>
      <t>2,3</t>
    </r>
  </si>
  <si>
    <r>
      <t>(HV</t>
    </r>
    <r>
      <rPr>
        <vertAlign val="superscript"/>
        <sz val="10"/>
        <color theme="1"/>
        <rFont val="Arial"/>
        <family val="2"/>
      </rPr>
      <t>3</t>
    </r>
    <r>
      <rPr>
        <sz val="10"/>
        <color theme="1"/>
        <rFont val="Arial"/>
        <family val="2"/>
      </rPr>
      <t>/EV</t>
    </r>
    <r>
      <rPr>
        <vertAlign val="superscript"/>
        <sz val="10"/>
        <color theme="1"/>
        <rFont val="Arial"/>
        <family val="2"/>
      </rPr>
      <t>2</t>
    </r>
    <r>
      <rPr>
        <sz val="10"/>
        <color theme="1"/>
        <rFont val="Arial"/>
        <family val="2"/>
      </rPr>
      <t>)</t>
    </r>
  </si>
  <si>
    <r>
      <t>(MV</t>
    </r>
    <r>
      <rPr>
        <vertAlign val="superscript"/>
        <sz val="10"/>
        <rFont val="Arial"/>
        <family val="2"/>
      </rPr>
      <t>3</t>
    </r>
    <r>
      <rPr>
        <sz val="10"/>
        <rFont val="Arial"/>
        <family val="2"/>
      </rPr>
      <t>/HV</t>
    </r>
    <r>
      <rPr>
        <vertAlign val="superscript"/>
        <sz val="10"/>
        <rFont val="Arial"/>
        <family val="2"/>
      </rPr>
      <t>1</t>
    </r>
    <r>
      <rPr>
        <sz val="10"/>
        <rFont val="Arial"/>
        <family val="2"/>
      </rPr>
      <t>)</t>
    </r>
  </si>
  <si>
    <r>
      <t>(EV)</t>
    </r>
    <r>
      <rPr>
        <vertAlign val="superscript"/>
        <sz val="10"/>
        <color theme="1"/>
        <rFont val="Arial"/>
        <family val="2"/>
      </rPr>
      <t>4</t>
    </r>
  </si>
  <si>
    <r>
      <t>(PS</t>
    </r>
    <r>
      <rPr>
        <vertAlign val="superscript"/>
        <sz val="10"/>
        <color theme="1"/>
        <rFont val="Arial"/>
        <family val="2"/>
      </rPr>
      <t>3</t>
    </r>
    <r>
      <rPr>
        <sz val="10"/>
        <color theme="1"/>
        <rFont val="Arial"/>
        <family val="2"/>
      </rPr>
      <t>/MV</t>
    </r>
    <r>
      <rPr>
        <vertAlign val="superscript"/>
        <sz val="10"/>
        <color theme="1"/>
        <rFont val="Arial"/>
        <family val="2"/>
      </rPr>
      <t>1,3</t>
    </r>
    <r>
      <rPr>
        <sz val="10"/>
        <color theme="1"/>
        <rFont val="Arial"/>
        <family val="2"/>
      </rPr>
      <t>)</t>
    </r>
  </si>
  <si>
    <r>
      <t>(MV)</t>
    </r>
    <r>
      <rPr>
        <vertAlign val="superscript"/>
        <sz val="10"/>
        <color theme="1"/>
        <rFont val="Arial"/>
        <family val="2"/>
      </rPr>
      <t>2,3</t>
    </r>
  </si>
  <si>
    <r>
      <t>(MV)</t>
    </r>
    <r>
      <rPr>
        <vertAlign val="superscript"/>
        <sz val="10"/>
        <rFont val="Arial"/>
        <family val="2"/>
      </rPr>
      <t>1,3</t>
    </r>
  </si>
  <si>
    <r>
      <t>(HV</t>
    </r>
    <r>
      <rPr>
        <vertAlign val="superscript"/>
        <sz val="10"/>
        <rFont val="Arial"/>
        <family val="2"/>
      </rPr>
      <t>3</t>
    </r>
    <r>
      <rPr>
        <sz val="10"/>
        <rFont val="Arial"/>
        <family val="2"/>
      </rPr>
      <t>/EV</t>
    </r>
    <r>
      <rPr>
        <vertAlign val="superscript"/>
        <sz val="10"/>
        <rFont val="Arial"/>
        <family val="2"/>
      </rPr>
      <t>1</t>
    </r>
    <r>
      <rPr>
        <sz val="10"/>
        <rFont val="Arial"/>
        <family val="2"/>
      </rPr>
      <t>)</t>
    </r>
  </si>
  <si>
    <r>
      <t>(HV)</t>
    </r>
    <r>
      <rPr>
        <vertAlign val="superscript"/>
        <sz val="10"/>
        <rFont val="Arial"/>
        <family val="2"/>
      </rPr>
      <t>1,3</t>
    </r>
  </si>
  <si>
    <r>
      <t>(IL)</t>
    </r>
    <r>
      <rPr>
        <vertAlign val="superscript"/>
        <sz val="10"/>
        <color theme="1"/>
        <rFont val="Arial"/>
        <family val="2"/>
      </rPr>
      <t>2</t>
    </r>
  </si>
  <si>
    <r>
      <t>(MV</t>
    </r>
    <r>
      <rPr>
        <vertAlign val="superscript"/>
        <sz val="10"/>
        <color theme="1"/>
        <rFont val="Arial"/>
        <family val="2"/>
      </rPr>
      <t>2</t>
    </r>
    <r>
      <rPr>
        <sz val="10"/>
        <color theme="1"/>
        <rFont val="Arial"/>
        <family val="2"/>
      </rPr>
      <t>/HV</t>
    </r>
    <r>
      <rPr>
        <vertAlign val="superscript"/>
        <sz val="10"/>
        <color theme="1"/>
        <rFont val="Arial"/>
        <family val="2"/>
      </rPr>
      <t>3</t>
    </r>
    <r>
      <rPr>
        <sz val="10"/>
        <color theme="1"/>
        <rFont val="Arial"/>
        <family val="2"/>
      </rPr>
      <t>)</t>
    </r>
  </si>
  <si>
    <r>
      <t>(PS</t>
    </r>
    <r>
      <rPr>
        <vertAlign val="superscript"/>
        <sz val="10"/>
        <rFont val="Arial"/>
        <family val="2"/>
      </rPr>
      <t>3</t>
    </r>
    <r>
      <rPr>
        <sz val="10"/>
        <rFont val="Arial"/>
        <family val="2"/>
      </rPr>
      <t>/MV</t>
    </r>
    <r>
      <rPr>
        <vertAlign val="superscript"/>
        <sz val="10"/>
        <rFont val="Arial"/>
        <family val="2"/>
      </rPr>
      <t>1</t>
    </r>
    <r>
      <rPr>
        <sz val="10"/>
        <rFont val="Arial"/>
        <family val="2"/>
      </rPr>
      <t>)</t>
    </r>
  </si>
  <si>
    <r>
      <t>(HV)</t>
    </r>
    <r>
      <rPr>
        <vertAlign val="superscript"/>
        <sz val="10"/>
        <color theme="1"/>
        <rFont val="Arial"/>
        <family val="2"/>
      </rPr>
      <t>2,3</t>
    </r>
  </si>
  <si>
    <r>
      <t>(HV</t>
    </r>
    <r>
      <rPr>
        <vertAlign val="superscript"/>
        <sz val="10"/>
        <color theme="1"/>
        <rFont val="Arial"/>
        <family val="2"/>
      </rPr>
      <t>1</t>
    </r>
    <r>
      <rPr>
        <sz val="10"/>
        <color theme="1"/>
        <rFont val="Arial"/>
        <family val="2"/>
      </rPr>
      <t>/EV</t>
    </r>
    <r>
      <rPr>
        <vertAlign val="superscript"/>
        <sz val="10"/>
        <color theme="1"/>
        <rFont val="Arial"/>
        <family val="2"/>
      </rPr>
      <t>3</t>
    </r>
    <r>
      <rPr>
        <sz val="10"/>
        <color theme="1"/>
        <rFont val="Arial"/>
        <family val="2"/>
      </rPr>
      <t>)</t>
    </r>
  </si>
  <si>
    <r>
      <t>(PS)</t>
    </r>
    <r>
      <rPr>
        <vertAlign val="superscript"/>
        <sz val="10"/>
        <color theme="1"/>
        <rFont val="Arial"/>
        <family val="2"/>
      </rPr>
      <t>1</t>
    </r>
  </si>
  <si>
    <r>
      <t>EV</t>
    </r>
    <r>
      <rPr>
        <vertAlign val="superscript"/>
        <sz val="10"/>
        <color theme="1"/>
        <rFont val="Arial"/>
        <family val="2"/>
      </rPr>
      <t>2</t>
    </r>
  </si>
  <si>
    <t xml:space="preserve">       * Column for results of assessment areas covering more than one state</t>
  </si>
  <si>
    <r>
      <t xml:space="preserve">      </t>
    </r>
    <r>
      <rPr>
        <vertAlign val="superscript"/>
        <sz val="11"/>
        <color rgb="FF000000"/>
        <rFont val="Calibri"/>
        <family val="2"/>
        <scheme val="minor"/>
      </rPr>
      <t xml:space="preserve"> 4</t>
    </r>
    <r>
      <rPr>
        <sz val="11"/>
        <color rgb="FF000000"/>
        <rFont val="Calibri"/>
        <family val="2"/>
        <scheme val="minor"/>
      </rPr>
      <t xml:space="preserve"> state-based assessment in Virginia (Virginia Division of Natural Heritage 2010)</t>
    </r>
  </si>
  <si>
    <r>
      <t xml:space="preserve">          1 </t>
    </r>
    <r>
      <rPr>
        <sz val="11"/>
        <color rgb="FF000000"/>
        <rFont val="Calibri"/>
        <family val="2"/>
        <scheme val="minor"/>
      </rPr>
      <t>state-based assessment in Pennsylvania (Furedi et al. 2011)</t>
    </r>
  </si>
  <si>
    <r>
      <t xml:space="preserve">       </t>
    </r>
    <r>
      <rPr>
        <vertAlign val="superscript"/>
        <sz val="11"/>
        <color rgb="FF000000"/>
        <rFont val="Calibri"/>
        <family val="2"/>
        <scheme val="minor"/>
      </rPr>
      <t>3</t>
    </r>
    <r>
      <rPr>
        <sz val="11"/>
        <color rgb="FF000000"/>
        <rFont val="Calibri"/>
        <family val="2"/>
        <scheme val="minor"/>
      </rPr>
      <t xml:space="preserve"> state-based assessment in West Virginia (Byers and Norris 2011)</t>
    </r>
  </si>
  <si>
    <r>
      <t xml:space="preserve">      </t>
    </r>
    <r>
      <rPr>
        <vertAlign val="superscript"/>
        <sz val="11"/>
        <color rgb="FF000000"/>
        <rFont val="Calibri"/>
        <family val="2"/>
        <scheme val="minor"/>
      </rPr>
      <t xml:space="preserve"> 2</t>
    </r>
    <r>
      <rPr>
        <sz val="11"/>
        <color rgb="FF000000"/>
        <rFont val="Calibri"/>
        <family val="2"/>
        <scheme val="minor"/>
      </rPr>
      <t xml:space="preserve"> state-based assessment in New York (Schlesinger et al. 2011)</t>
    </r>
  </si>
  <si>
    <r>
      <t xml:space="preserve">       </t>
    </r>
    <r>
      <rPr>
        <vertAlign val="superscript"/>
        <sz val="11"/>
        <color rgb="FF000000"/>
        <rFont val="Calibri"/>
        <family val="2"/>
        <scheme val="minor"/>
      </rPr>
      <t xml:space="preserve">5 </t>
    </r>
    <r>
      <rPr>
        <sz val="11"/>
        <color rgb="FF000000"/>
        <rFont val="Calibri"/>
        <family val="2"/>
        <scheme val="minor"/>
      </rPr>
      <t>state-based assessment in New Jersey (Ring et al. 2013)</t>
    </r>
  </si>
  <si>
    <r>
      <t xml:space="preserve">      </t>
    </r>
    <r>
      <rPr>
        <vertAlign val="superscript"/>
        <sz val="11"/>
        <color rgb="FF000000"/>
        <rFont val="Calibri"/>
        <family val="2"/>
        <scheme val="minor"/>
      </rPr>
      <t xml:space="preserve"> 6</t>
    </r>
    <r>
      <rPr>
        <sz val="11"/>
        <color rgb="FF000000"/>
        <rFont val="Calibri"/>
        <family val="2"/>
        <scheme val="minor"/>
      </rPr>
      <t xml:space="preserve"> entire subregion (Sneddon et al. 2015) </t>
    </r>
  </si>
  <si>
    <r>
      <t>For example, an annotation of PS</t>
    </r>
    <r>
      <rPr>
        <vertAlign val="superscript"/>
        <sz val="11"/>
        <color rgb="FF000000"/>
        <rFont val="Calibri"/>
        <family val="2"/>
        <scheme val="minor"/>
      </rPr>
      <t>3</t>
    </r>
    <r>
      <rPr>
        <sz val="11"/>
        <color rgb="FF000000"/>
        <rFont val="Calibri"/>
        <family val="2"/>
        <scheme val="minor"/>
      </rPr>
      <t xml:space="preserve"> indicates that the source of that rank is Byers and Norris (2011); full citation is given in the References tab. Some column headings with state names also have superscripts (e.g. VA</t>
    </r>
    <r>
      <rPr>
        <vertAlign val="superscript"/>
        <sz val="11"/>
        <color rgb="FF000000"/>
        <rFont val="Calibri"/>
        <family val="2"/>
        <scheme val="minor"/>
      </rPr>
      <t>4</t>
    </r>
    <r>
      <rPr>
        <sz val="11"/>
        <color rgb="FF000000"/>
        <rFont val="Calibri"/>
        <family val="2"/>
        <scheme val="minor"/>
      </rPr>
      <t xml:space="preserve">), indicating that assessments were done in that state, and the full citation is given in the references tab. State column headings without superscripts indicate that no assessment exists that focuses on that state exclusively. </t>
    </r>
  </si>
  <si>
    <r>
      <t>PS</t>
    </r>
    <r>
      <rPr>
        <vertAlign val="superscript"/>
        <sz val="10"/>
        <color theme="1"/>
        <rFont val="Arial"/>
        <family val="2"/>
      </rPr>
      <t>2</t>
    </r>
    <r>
      <rPr>
        <sz val="10"/>
        <color theme="1"/>
        <rFont val="Arial"/>
        <family val="2"/>
      </rPr>
      <t>/MV</t>
    </r>
    <r>
      <rPr>
        <vertAlign val="superscript"/>
        <sz val="10"/>
        <color theme="1"/>
        <rFont val="Arial"/>
        <family val="2"/>
      </rPr>
      <t>1,6</t>
    </r>
  </si>
  <si>
    <t xml:space="preserve">Vulnerability ranks in parentheses with a superscript indicate that the results of that species assessed in an adjoining state were extrapolated to that state, with the superscript indicating the source of the results. Because Pennsylvania and West Virginia make up a large proportion of the land mass in the Central Appalachian subregion, we assumed that results from those states could be reasonably extrapolated to other states in the subregion where that species occurs. Results from New York, New Jersey, and Virginia were not extrapolated beyond those states, however. </t>
  </si>
  <si>
    <r>
      <t xml:space="preserve">     </t>
    </r>
    <r>
      <rPr>
        <b/>
        <sz val="11"/>
        <color rgb="FF000000"/>
        <rFont val="Calibri"/>
        <family val="2"/>
        <scheme val="minor"/>
      </rPr>
      <t>Simple filter:</t>
    </r>
    <r>
      <rPr>
        <sz val="11"/>
        <color rgb="FF000000"/>
        <rFont val="Calibri"/>
        <family val="2"/>
        <scheme val="minor"/>
      </rPr>
      <t xml:space="preserve"> click the down arrow, select "filter". Uncheck "select all" and check just the categories you are interested in. BE SURE TO SCROLL DOWN AND HIT "OK" TO ACTIVATE THE FILTER. This sometimes takes a few seconds, depending on your connection. </t>
    </r>
  </si>
  <si>
    <r>
      <t xml:space="preserve">     </t>
    </r>
    <r>
      <rPr>
        <b/>
        <sz val="11"/>
        <color rgb="FF000000"/>
        <rFont val="Calibri"/>
        <family val="2"/>
        <scheme val="minor"/>
      </rPr>
      <t xml:space="preserve">Complex filter: </t>
    </r>
    <r>
      <rPr>
        <sz val="11"/>
        <color rgb="FF000000"/>
        <rFont val="Calibri"/>
        <family val="2"/>
        <scheme val="minor"/>
      </rPr>
      <t xml:space="preserve">After hitting the small down arrow in the column heading, hit "text filters". You will see a number of possible search categories (equals, starts with, contains, etc.) Select one criterion, and type in the word. Do not use quotes; be sure it is spelled correctly, but is not case-sensitive). For example, if you'd like to see everything except insects, go to Natural Group 2, hit "text filter" and follow the arrow to the right to get more selections.  Select "does not equal" and write insects . Again, hit "OK" and you will see all species except insects. There are many combinations that you can try out for different selections. To change selections, hit the small funnel and choose "clear text filters". </t>
    </r>
  </si>
  <si>
    <t xml:space="preserve">Look at column O: this indicates the major habitat the species occupies. Note that “aquatic” indicates only species that live below the water surface for their entire life cycle. Diving beetles, amphibians, emergent wetland plants, are all considered “terrestrial”.  If you want to filter on all the cave species, filter for “subterranean”. </t>
  </si>
  <si>
    <t>Sneddon et al. 2015 (results):</t>
  </si>
  <si>
    <t>http://applcc.org/research/climate-change-vulnerability-group/final-narrative-climate-change-vulnerability-assessment/results/climate-change-vulnerability-assessments-and-documentation-for-41-species/at_download/file</t>
  </si>
  <si>
    <t>http://www.naturalheritage.state.pa.us/ccvi/ccvi_final_report.pdf</t>
  </si>
  <si>
    <t>Byers et al. 2011:</t>
  </si>
  <si>
    <t>Furedi et al. 2011:</t>
  </si>
  <si>
    <t>Ring et al. 2013:</t>
  </si>
  <si>
    <t>https://mjdws.natureserve.org/sites/default/files/documents/NJ-SWAP-Plants-CCVI-FINAL_0.pdf</t>
  </si>
  <si>
    <t>Some ranks are different in different states. The differences may reflect true variations in conditions, or they may reflect variations in interpreting some of the factors in the CCVI, or the species is on the threshold between two ranks, or a combination of all three. In these cases, we report both ranks in the adjoining states and in the subregion as a whole. In a few cases, however, some ranks are contradictory (PS in one state, HV in an adjacent state); these should be scrutinized carefully to determine the discrepancies. These are indicated in the Total column in italics with an asterisk.</t>
  </si>
  <si>
    <t xml:space="preserve">Assessment areas are annotated with the source of the vulnerability rank as numerical superscripts (see references tab for full citations): </t>
  </si>
  <si>
    <t>Virginia Division of Natural Heritage (2010)</t>
  </si>
  <si>
    <t xml:space="preserve">https://connect.natureserve.org/sites/default/files/documents/Virginia_CCVI_Results.pdf </t>
  </si>
  <si>
    <r>
      <rPr>
        <b/>
        <sz val="11"/>
        <color rgb="FF000000"/>
        <rFont val="Calibri"/>
        <family val="2"/>
        <scheme val="minor"/>
      </rPr>
      <t>Extremely Vulnerable (EV)</t>
    </r>
    <r>
      <rPr>
        <sz val="11"/>
        <color rgb="FF000000"/>
        <rFont val="Calibri"/>
        <family val="2"/>
        <scheme val="minor"/>
      </rPr>
      <t>: Abundance and/or range extent within geographical area
assessed extremely likely to substantially decrease or disappear by 2050.</t>
    </r>
  </si>
  <si>
    <r>
      <rPr>
        <b/>
        <sz val="11"/>
        <color rgb="FF000000"/>
        <rFont val="Calibri"/>
        <family val="2"/>
        <scheme val="minor"/>
      </rPr>
      <t>Highly Vulnerable (HV)</t>
    </r>
    <r>
      <rPr>
        <sz val="11"/>
        <color rgb="FF000000"/>
        <rFont val="Calibri"/>
        <family val="2"/>
        <scheme val="minor"/>
      </rPr>
      <t>: Abundance and/or range extent within geographical area assessed
likely to decrease significantly by 2050.</t>
    </r>
  </si>
  <si>
    <r>
      <t xml:space="preserve">Moderately Vulnerable (MV): </t>
    </r>
    <r>
      <rPr>
        <sz val="11"/>
        <color rgb="FF000000"/>
        <rFont val="Calibri"/>
        <family val="2"/>
        <scheme val="minor"/>
      </rPr>
      <t>Abundance and/or range extent within geographical area
assessed likely to decrease by 2050.</t>
    </r>
  </si>
  <si>
    <r>
      <rPr>
        <b/>
        <sz val="11"/>
        <color rgb="FF000000"/>
        <rFont val="Calibri"/>
        <family val="2"/>
        <scheme val="minor"/>
      </rPr>
      <t>Presumed Stable (PS</t>
    </r>
    <r>
      <rPr>
        <sz val="11"/>
        <color rgb="FF000000"/>
        <rFont val="Calibri"/>
        <family val="2"/>
        <scheme val="minor"/>
      </rPr>
      <t>): Available evidence does not suggest that abundance
and/or range extent within the geographical area assessed will change
(increase/decrease) substantially by 2050. Actual range boundaries may change.</t>
    </r>
  </si>
  <si>
    <r>
      <rPr>
        <b/>
        <sz val="11"/>
        <color rgb="FF000000"/>
        <rFont val="Calibri"/>
        <family val="2"/>
        <scheme val="minor"/>
      </rPr>
      <t>Increase Likely (IL)</t>
    </r>
    <r>
      <rPr>
        <sz val="11"/>
        <color rgb="FF000000"/>
        <rFont val="Calibri"/>
        <family val="2"/>
        <scheme val="minor"/>
      </rPr>
      <t xml:space="preserve"> (not the postal code for Illinois): Available evidence suggests that abundance and/or
range extent within geographical area assessed is likely to increase by 2050</t>
    </r>
  </si>
  <si>
    <t xml:space="preserve">*  You can filter your results: click on the “filter” choice: you see a list of all the values in that column. If you want to see all the species that were assessed as Extremely Vulnerable in Pennsylvania, uncheck “select all”, then check “EV” and hit “enter” to activate the filter. (The superscripts will show up in the filter as well, so you will need to check  EV1, EV2, etc.) Note the little funnel, this tells you which column you have filtered on. This is helpful when you want to do an additional filter: let’s say all the G5 species that are Extremely Vulnerable. Do the same thing on the NatureServe global rank column, and choose “G5”.  </t>
  </si>
  <si>
    <t>EV (Extremely Vulnerable)</t>
  </si>
  <si>
    <t>HV (Highly Vulnerable)</t>
  </si>
  <si>
    <t>HV/EV (Highly to Extremely Vulnerable)</t>
  </si>
  <si>
    <t>IL (Increase Likely)</t>
  </si>
  <si>
    <t>MV (Moderately Vulnerable)</t>
  </si>
  <si>
    <t>MV/HV (Moderately to Highly Vulnerable)</t>
  </si>
  <si>
    <t>MV/PS (Moderately Vulnerable to Presumed Stable)</t>
  </si>
  <si>
    <t>PS (Presumed Stable)</t>
  </si>
  <si>
    <t>MV/EV (Moderately to Extremely Vulnerable)</t>
  </si>
  <si>
    <t>PS/IL (Presumed Stable to Increase Likely)</t>
  </si>
  <si>
    <t>MV/IL* (Moderately Vulnerable to Increase Likely)</t>
  </si>
  <si>
    <t>PS/EV* (Presumed Stable to Extremely Vulnerable)</t>
  </si>
  <si>
    <t>PS/MV (Presumed Stable to Moderalely Vulnerable)</t>
  </si>
  <si>
    <r>
      <t>(MV</t>
    </r>
    <r>
      <rPr>
        <i/>
        <vertAlign val="superscript"/>
        <sz val="10"/>
        <color theme="1"/>
        <rFont val="Arial"/>
        <family val="2"/>
      </rPr>
      <t>3</t>
    </r>
    <r>
      <rPr>
        <i/>
        <sz val="10"/>
        <color theme="1"/>
        <rFont val="Arial"/>
        <family val="2"/>
      </rPr>
      <t>/IL</t>
    </r>
    <r>
      <rPr>
        <i/>
        <vertAlign val="superscript"/>
        <sz val="10"/>
        <color theme="1"/>
        <rFont val="Arial"/>
        <family val="2"/>
      </rPr>
      <t>2</t>
    </r>
    <r>
      <rPr>
        <i/>
        <sz val="10"/>
        <color theme="1"/>
        <rFont val="Arial"/>
        <family val="2"/>
      </rPr>
      <t>)</t>
    </r>
  </si>
  <si>
    <r>
      <t>IL</t>
    </r>
    <r>
      <rPr>
        <i/>
        <vertAlign val="superscript"/>
        <sz val="10"/>
        <rFont val="Arial"/>
        <family val="2"/>
      </rPr>
      <t>2</t>
    </r>
  </si>
  <si>
    <r>
      <t>MV</t>
    </r>
    <r>
      <rPr>
        <i/>
        <vertAlign val="superscript"/>
        <sz val="10"/>
        <color theme="1"/>
        <rFont val="Arial"/>
        <family val="2"/>
      </rPr>
      <t>3</t>
    </r>
  </si>
  <si>
    <t>Key to climate change vulnerability ranks in columns C through J:  EV = Extremely Vulnerable; H = Highly Vulnerable; MV = Moderately Vulnerable; PS = Presumed Stable; IL = Increase Likely; see Instructions tab below for definitions. Both ranks are reported if the species was assessed by two researchers. Those in italics with an asterisk (*) are apparently contradictory and should be used with caution. Superscripts on vulnerability ranks indicate the source of the information. See References tab below for full citation.  Assessments done over the entire subregion are in column P.</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</si>
</sst>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b/>
      <sz val="10"/>
      <color theme="1"/>
      <name val="Arial"/>
      <family val="2"/>
    </font>
    <font>
      <sz val="10"/>
      <color theme="1"/>
      <name val="Arial"/>
      <family val="2"/>
    </font>
    <font>
      <i/>
      <sz val="10"/>
      <color theme="1"/>
      <name val="Arial"/>
      <family val="2"/>
    </font>
    <font>
      <sz val="10"/>
      <color rgb="FF000000"/>
      <name val="Arial"/>
      <family val="2"/>
    </font>
    <font>
      <b/>
      <sz val="11"/>
      <color theme="1"/>
      <name val="Calibri"/>
      <family val="2"/>
      <scheme val="minor"/>
    </font>
    <font>
      <u/>
      <sz val="11"/>
      <color theme="10"/>
      <name val="Calibri"/>
      <family val="2"/>
      <scheme val="minor"/>
    </font>
    <font>
      <sz val="10"/>
      <name val="Arial"/>
      <family val="2"/>
    </font>
    <font>
      <i/>
      <sz val="10"/>
      <name val="Arial"/>
      <family val="2"/>
    </font>
    <font>
      <sz val="10"/>
      <color rgb="FFFF0000"/>
      <name val="Arial"/>
      <family val="2"/>
    </font>
    <font>
      <sz val="11"/>
      <color rgb="FF000000"/>
      <name val="Calibri"/>
      <family val="2"/>
      <scheme val="minor"/>
    </font>
    <font>
      <b/>
      <sz val="11"/>
      <color rgb="FF000000"/>
      <name val="Calibri"/>
      <family val="2"/>
      <scheme val="minor"/>
    </font>
    <font>
      <sz val="10.5"/>
      <color rgb="FF000000"/>
      <name val="Calibri"/>
      <family val="2"/>
      <scheme val="minor"/>
    </font>
    <font>
      <sz val="11"/>
      <name val="Calibri"/>
      <family val="2"/>
      <scheme val="minor"/>
    </font>
    <font>
      <b/>
      <sz val="10"/>
      <name val="Arial"/>
      <family val="2"/>
    </font>
    <font>
      <b/>
      <vertAlign val="superscript"/>
      <sz val="10"/>
      <color theme="1"/>
      <name val="Arial"/>
      <family val="2"/>
    </font>
    <font>
      <b/>
      <vertAlign val="superscript"/>
      <sz val="10"/>
      <name val="Arial"/>
      <family val="2"/>
    </font>
    <font>
      <b/>
      <vertAlign val="superscript"/>
      <sz val="11"/>
      <color theme="1"/>
      <name val="Calibri"/>
      <family val="2"/>
      <scheme val="minor"/>
    </font>
    <font>
      <vertAlign val="superscript"/>
      <sz val="11"/>
      <color rgb="FF000000"/>
      <name val="Calibri"/>
      <family val="2"/>
      <scheme val="minor"/>
    </font>
    <font>
      <vertAlign val="superscript"/>
      <sz val="10"/>
      <name val="Arial"/>
      <family val="2"/>
    </font>
    <font>
      <vertAlign val="superscript"/>
      <sz val="10"/>
      <color theme="1"/>
      <name val="Arial"/>
      <family val="2"/>
    </font>
    <font>
      <b/>
      <sz val="14"/>
      <color theme="1"/>
      <name val="Calibri"/>
      <family val="2"/>
      <scheme val="minor"/>
    </font>
    <font>
      <b/>
      <sz val="12"/>
      <color theme="1"/>
      <name val="Calibri"/>
      <family val="2"/>
      <scheme val="minor"/>
    </font>
    <font>
      <i/>
      <vertAlign val="superscript"/>
      <sz val="10"/>
      <color theme="1"/>
      <name val="Arial"/>
      <family val="2"/>
    </font>
    <font>
      <i/>
      <vertAlign val="superscript"/>
      <sz val="10"/>
      <name val="Arial"/>
      <family val="2"/>
    </font>
  </fonts>
  <fills count="4">
    <fill>
      <patternFill patternType="none"/>
    </fill>
    <fill>
      <patternFill patternType="gray125"/>
    </fill>
    <fill>
      <patternFill patternType="solid">
        <fgColor rgb="FFF5F878"/>
        <bgColor indexed="64"/>
      </patternFill>
    </fill>
    <fill>
      <patternFill patternType="solid">
        <fgColor theme="0" tint="-4.9989318521683403E-2"/>
        <bgColor indexed="64"/>
      </patternFill>
    </fill>
  </fills>
  <borders count="15">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style="thin">
        <color auto="1"/>
      </bottom>
      <diagonal/>
    </border>
    <border>
      <left/>
      <right/>
      <top/>
      <bottom style="medium">
        <color auto="1"/>
      </bottom>
      <diagonal/>
    </border>
    <border>
      <left style="thin">
        <color theme="0" tint="-0.14996795556505021"/>
      </left>
      <right style="thin">
        <color theme="0" tint="-0.14996795556505021"/>
      </right>
      <top/>
      <bottom style="thin">
        <color theme="0" tint="-0.14996795556505021"/>
      </bottom>
      <diagonal/>
    </border>
    <border>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theme="0" tint="-0.24994659260841701"/>
      </right>
      <top style="thin">
        <color theme="0" tint="-0.14996795556505021"/>
      </top>
      <bottom style="thin">
        <color auto="1"/>
      </bottom>
      <diagonal/>
    </border>
    <border>
      <left style="thin">
        <color theme="0" tint="-0.24994659260841701"/>
      </left>
      <right style="thin">
        <color indexed="64"/>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2">
    <xf numFmtId="0" fontId="0" fillId="0" borderId="0"/>
    <xf numFmtId="0" fontId="6" fillId="0" borderId="0" applyNumberFormat="0" applyFill="0" applyBorder="0" applyAlignment="0" applyProtection="0"/>
  </cellStyleXfs>
  <cellXfs count="62">
    <xf numFmtId="0" fontId="0" fillId="0" borderId="0" xfId="0"/>
    <xf numFmtId="0" fontId="2" fillId="0" borderId="0" xfId="0" applyFont="1"/>
    <xf numFmtId="0" fontId="2" fillId="0" borderId="0" xfId="0" applyFont="1" applyProtection="1">
      <protection locked="0"/>
    </xf>
    <xf numFmtId="0" fontId="3" fillId="0" borderId="0" xfId="0" applyFont="1" applyProtection="1">
      <protection locked="0"/>
    </xf>
    <xf numFmtId="0" fontId="3" fillId="0" borderId="0" xfId="0" applyFont="1"/>
    <xf numFmtId="0" fontId="4" fillId="0" borderId="0" xfId="0" applyFont="1"/>
    <xf numFmtId="0" fontId="6" fillId="0" borderId="0" xfId="1"/>
    <xf numFmtId="0" fontId="8" fillId="0" borderId="0" xfId="0" applyFont="1" applyProtection="1">
      <protection locked="0"/>
    </xf>
    <xf numFmtId="0" fontId="7" fillId="0" borderId="0" xfId="0" applyFont="1" applyProtection="1">
      <protection locked="0"/>
    </xf>
    <xf numFmtId="0" fontId="10" fillId="0" borderId="0" xfId="0" applyFont="1"/>
    <xf numFmtId="0" fontId="11" fillId="0" borderId="0" xfId="0" applyFont="1"/>
    <xf numFmtId="0" fontId="10" fillId="0" borderId="0" xfId="0" applyFont="1" applyAlignment="1">
      <alignment wrapText="1"/>
    </xf>
    <xf numFmtId="0" fontId="0" fillId="0" borderId="0" xfId="0" applyAlignment="1">
      <alignment wrapText="1"/>
    </xf>
    <xf numFmtId="0" fontId="2" fillId="2" borderId="1" xfId="0" applyFont="1" applyFill="1" applyBorder="1" applyAlignment="1" applyProtection="1">
      <alignment horizontal="center" wrapText="1"/>
      <protection locked="0"/>
    </xf>
    <xf numFmtId="0" fontId="7" fillId="2" borderId="1" xfId="0" applyFont="1" applyFill="1" applyBorder="1" applyAlignment="1" applyProtection="1">
      <alignment horizontal="center" wrapText="1"/>
      <protection locked="0"/>
    </xf>
    <xf numFmtId="0" fontId="3" fillId="2" borderId="1" xfId="0" applyFont="1" applyFill="1" applyBorder="1" applyAlignment="1" applyProtection="1">
      <alignment horizontal="center" wrapText="1"/>
      <protection locked="0"/>
    </xf>
    <xf numFmtId="0" fontId="9" fillId="2" borderId="1" xfId="0" applyFont="1" applyFill="1" applyBorder="1" applyAlignment="1" applyProtection="1">
      <alignment horizontal="center" wrapText="1"/>
      <protection locked="0"/>
    </xf>
    <xf numFmtId="0" fontId="0" fillId="0" borderId="1" xfId="0" applyBorder="1" applyAlignment="1">
      <alignment horizontal="center"/>
    </xf>
    <xf numFmtId="0" fontId="5" fillId="0" borderId="0" xfId="0" applyFont="1" applyAlignment="1">
      <alignment wrapText="1"/>
    </xf>
    <xf numFmtId="0" fontId="13" fillId="0" borderId="0" xfId="0" applyFont="1" applyFill="1" applyBorder="1" applyAlignment="1"/>
    <xf numFmtId="0" fontId="11" fillId="0" borderId="0" xfId="0" applyFont="1" applyAlignment="1">
      <alignment wrapText="1"/>
    </xf>
    <xf numFmtId="0" fontId="0" fillId="0" borderId="0" xfId="0" applyAlignment="1">
      <alignment horizontal="center" vertical="center" wrapText="1"/>
    </xf>
    <xf numFmtId="0" fontId="5" fillId="3" borderId="2" xfId="0" applyFont="1" applyFill="1" applyBorder="1" applyAlignment="1">
      <alignment horizontal="right" wrapText="1"/>
    </xf>
    <xf numFmtId="0" fontId="5" fillId="3" borderId="3" xfId="0" applyFont="1" applyFill="1" applyBorder="1" applyAlignment="1">
      <alignment horizontal="left" wrapText="1"/>
    </xf>
    <xf numFmtId="0" fontId="0" fillId="0" borderId="0" xfId="0" applyAlignment="1">
      <alignment horizontal="center"/>
    </xf>
    <xf numFmtId="0" fontId="2" fillId="0" borderId="0" xfId="0" applyFont="1" applyAlignment="1" applyProtection="1">
      <alignment horizontal="center"/>
      <protection locked="0"/>
    </xf>
    <xf numFmtId="0" fontId="2" fillId="0" borderId="1" xfId="0" applyFont="1" applyFill="1" applyBorder="1" applyAlignment="1" applyProtection="1">
      <alignment horizontal="center" wrapText="1"/>
      <protection locked="0"/>
    </xf>
    <xf numFmtId="0" fontId="7" fillId="0" borderId="1" xfId="0" applyFont="1" applyFill="1" applyBorder="1" applyAlignment="1" applyProtection="1">
      <alignment horizontal="center" wrapText="1"/>
      <protection locked="0"/>
    </xf>
    <xf numFmtId="0" fontId="5" fillId="3" borderId="5" xfId="0" applyFont="1" applyFill="1" applyBorder="1" applyAlignment="1">
      <alignment horizontal="center" wrapText="1"/>
    </xf>
    <xf numFmtId="0" fontId="2" fillId="2" borderId="7" xfId="0" applyFont="1" applyFill="1" applyBorder="1" applyAlignment="1" applyProtection="1">
      <alignment horizontal="center" wrapText="1"/>
      <protection locked="0"/>
    </xf>
    <xf numFmtId="0" fontId="7" fillId="2" borderId="7" xfId="0" applyFont="1" applyFill="1" applyBorder="1" applyAlignment="1" applyProtection="1">
      <alignment horizontal="center" wrapText="1"/>
      <protection locked="0"/>
    </xf>
    <xf numFmtId="0" fontId="2" fillId="0" borderId="7" xfId="0" applyFont="1" applyFill="1" applyBorder="1" applyAlignment="1" applyProtection="1">
      <alignment horizontal="center" wrapText="1"/>
      <protection locked="0"/>
    </xf>
    <xf numFmtId="0" fontId="1" fillId="0" borderId="8"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protection locked="0"/>
    </xf>
    <xf numFmtId="0" fontId="5" fillId="0" borderId="9"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Fill="1" applyBorder="1" applyAlignment="1" applyProtection="1">
      <alignment horizontal="center" vertical="center" wrapText="1"/>
      <protection locked="0"/>
    </xf>
    <xf numFmtId="0" fontId="1" fillId="0" borderId="11" xfId="0" applyFont="1" applyBorder="1" applyAlignment="1">
      <alignment horizontal="center" vertical="center" wrapText="1"/>
    </xf>
    <xf numFmtId="0" fontId="10" fillId="0" borderId="0" xfId="0" applyFont="1" applyAlignment="1">
      <alignment vertical="center"/>
    </xf>
    <xf numFmtId="0" fontId="18" fillId="0" borderId="0" xfId="0" applyFont="1" applyAlignment="1">
      <alignment vertical="center"/>
    </xf>
    <xf numFmtId="0" fontId="10" fillId="0" borderId="0" xfId="0" applyFont="1" applyAlignment="1">
      <alignment vertical="center" wrapText="1"/>
    </xf>
    <xf numFmtId="0" fontId="6" fillId="0" borderId="0" xfId="1" applyAlignment="1">
      <alignment wrapText="1"/>
    </xf>
    <xf numFmtId="0" fontId="0" fillId="0" borderId="0" xfId="0" applyFont="1" applyAlignment="1">
      <alignment vertical="center" wrapText="1"/>
    </xf>
    <xf numFmtId="0" fontId="0" fillId="0" borderId="0" xfId="0" applyFont="1" applyAlignment="1">
      <alignment wrapText="1"/>
    </xf>
    <xf numFmtId="0" fontId="6" fillId="0" borderId="0" xfId="1" applyFont="1" applyAlignment="1">
      <alignment wrapText="1"/>
    </xf>
    <xf numFmtId="0" fontId="0" fillId="0" borderId="0" xfId="0" applyBorder="1" applyAlignment="1">
      <alignment horizontal="center"/>
    </xf>
    <xf numFmtId="0" fontId="10" fillId="0" borderId="0" xfId="0" applyFont="1" applyAlignment="1">
      <alignment horizontal="left" vertical="center" wrapText="1" indent="5"/>
    </xf>
    <xf numFmtId="0" fontId="11" fillId="0" borderId="0" xfId="0" applyFont="1" applyAlignment="1">
      <alignment horizontal="left" vertical="center" wrapText="1" indent="5"/>
    </xf>
    <xf numFmtId="0" fontId="5" fillId="3" borderId="2" xfId="0" applyFont="1" applyFill="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5" fillId="3" borderId="2" xfId="0" applyFont="1" applyFill="1" applyBorder="1" applyAlignment="1">
      <alignment horizontal="center" wrapText="1"/>
    </xf>
    <xf numFmtId="0" fontId="0" fillId="0" borderId="3" xfId="0" applyBorder="1" applyAlignment="1">
      <alignment horizontal="center" wrapText="1"/>
    </xf>
    <xf numFmtId="0" fontId="21" fillId="0" borderId="6" xfId="0" applyFont="1" applyBorder="1" applyAlignment="1">
      <alignment wrapText="1"/>
    </xf>
    <xf numFmtId="0" fontId="0" fillId="0" borderId="6" xfId="0" applyBorder="1" applyAlignment="1"/>
    <xf numFmtId="0" fontId="0" fillId="3" borderId="12" xfId="0" applyFill="1" applyBorder="1" applyAlignment="1">
      <alignment wrapText="1"/>
    </xf>
    <xf numFmtId="0" fontId="0" fillId="3" borderId="13" xfId="0" applyFill="1" applyBorder="1" applyAlignment="1">
      <alignment wrapText="1"/>
    </xf>
    <xf numFmtId="0" fontId="0" fillId="3" borderId="14" xfId="0" applyFill="1" applyBorder="1" applyAlignment="1">
      <alignment wrapText="1"/>
    </xf>
    <xf numFmtId="0" fontId="8" fillId="2" borderId="1" xfId="0" applyFont="1" applyFill="1" applyBorder="1" applyAlignment="1" applyProtection="1">
      <alignment horizontal="center" wrapText="1"/>
      <protection locked="0"/>
    </xf>
    <xf numFmtId="0" fontId="22" fillId="0" borderId="6" xfId="0" applyFont="1" applyBorder="1" applyAlignment="1">
      <alignmen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15</xdr:col>
      <xdr:colOff>47625</xdr:colOff>
      <xdr:row>0</xdr:row>
      <xdr:rowOff>180975</xdr:rowOff>
    </xdr:from>
    <xdr:to>
      <xdr:col>23</xdr:col>
      <xdr:colOff>28575</xdr:colOff>
      <xdr:row>21</xdr:row>
      <xdr:rowOff>85725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91625" y="180975"/>
          <a:ext cx="4857750" cy="3905250"/>
        </a:xfrm>
        <a:prstGeom prst="rect">
          <a:avLst/>
        </a:prstGeom>
        <a:noFill/>
        <a:ln>
          <a:noFill/>
        </a:ln>
      </xdr:spPr>
    </xdr:pic>
    <xdr:clientData/>
  </xdr:twoCellAnchor>
  <xdr:twoCellAnchor editAs="oneCell">
    <xdr:from>
      <xdr:col>14</xdr:col>
      <xdr:colOff>561975</xdr:colOff>
      <xdr:row>24</xdr:row>
      <xdr:rowOff>142875</xdr:rowOff>
    </xdr:from>
    <xdr:to>
      <xdr:col>27</xdr:col>
      <xdr:colOff>161925</xdr:colOff>
      <xdr:row>58</xdr:row>
      <xdr:rowOff>47625</xdr:rowOff>
    </xdr:to>
    <xdr:pic>
      <xdr:nvPicPr>
        <xdr:cNvPr id="5" name="Picture 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96375" y="4714875"/>
          <a:ext cx="7524750" cy="6381750"/>
        </a:xfrm>
        <a:prstGeom prst="rect">
          <a:avLst/>
        </a:prstGeom>
        <a:noFill/>
        <a:ln>
          <a:noFill/>
        </a:ln>
      </xdr:spPr>
    </xdr:pic>
    <xdr:clientData/>
  </xdr:twoCellAnchor>
  <xdr:twoCellAnchor editAs="oneCell">
    <xdr:from>
      <xdr:col>0</xdr:col>
      <xdr:colOff>0</xdr:colOff>
      <xdr:row>0</xdr:row>
      <xdr:rowOff>28575</xdr:rowOff>
    </xdr:from>
    <xdr:to>
      <xdr:col>14</xdr:col>
      <xdr:colOff>180975</xdr:colOff>
      <xdr:row>35</xdr:row>
      <xdr:rowOff>95683</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8575"/>
          <a:ext cx="8715375" cy="6734608"/>
        </a:xfrm>
        <a:prstGeom prst="rect">
          <a:avLst/>
        </a:prstGeom>
      </xdr:spPr>
    </xdr:pic>
    <xdr:clientData/>
  </xdr:twoCellAnchor>
  <xdr:twoCellAnchor editAs="oneCell">
    <xdr:from>
      <xdr:col>0</xdr:col>
      <xdr:colOff>104775</xdr:colOff>
      <xdr:row>38</xdr:row>
      <xdr:rowOff>114301</xdr:rowOff>
    </xdr:from>
    <xdr:to>
      <xdr:col>14</xdr:col>
      <xdr:colOff>161923</xdr:colOff>
      <xdr:row>73</xdr:row>
      <xdr:rowOff>85725</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 y="7353301"/>
          <a:ext cx="8591548" cy="66389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hyperlink" Target="https://connect.natureserve.org/sites/default/files/documents/Virginia_CCVI_Results.pdf" TargetMode="External"/><Relationship Id="rId1" Type="http://schemas.openxmlformats.org/officeDocument/2006/relationships/hyperlink" Target="http://applcc.org/research/climate-change-vulnerability-group/final-narrative-climate-change-vulnerability-assessment/results/climate-change-vulnerability-assessments-and-documentation-for-41-species/at_download/fi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2"/>
  <sheetViews>
    <sheetView tabSelected="1" workbookViewId="0">
      <pane xSplit="2" ySplit="3" topLeftCell="C4" activePane="bottomRight" state="frozen"/>
      <selection pane="topRight" activeCell="C1" sqref="C1"/>
      <selection pane="bottomLeft" activeCell="A3" sqref="A3"/>
      <selection pane="bottomRight" activeCell="B2" sqref="B2"/>
    </sheetView>
  </sheetViews>
  <sheetFormatPr defaultRowHeight="15" x14ac:dyDescent="0.25"/>
  <cols>
    <col min="1" max="1" width="27.5703125" customWidth="1"/>
    <col min="2" max="2" width="32.5703125" customWidth="1"/>
    <col min="3" max="9" width="10.5703125" style="17" customWidth="1"/>
    <col min="10" max="10" width="16.5703125" style="17" customWidth="1"/>
    <col min="11" max="11" width="14.42578125" customWidth="1"/>
    <col min="12" max="12" width="17" style="24" customWidth="1"/>
    <col min="13" max="13" width="13.140625" customWidth="1"/>
    <col min="14" max="15" width="11.85546875" customWidth="1"/>
    <col min="16" max="16" width="13.85546875" style="17" customWidth="1"/>
    <col min="17" max="17" width="10.140625" customWidth="1"/>
    <col min="18" max="18" width="18.5703125" customWidth="1"/>
    <col min="19" max="19" width="16.42578125" customWidth="1"/>
    <col min="20" max="20" width="15.28515625" customWidth="1"/>
    <col min="21" max="21" width="18.5703125" customWidth="1"/>
  </cols>
  <sheetData>
    <row r="1" spans="1:22" ht="74.25" customHeight="1" thickBot="1" x14ac:dyDescent="0.35">
      <c r="A1" s="61" t="s">
        <v>1486</v>
      </c>
      <c r="B1" s="55"/>
      <c r="C1" s="56"/>
      <c r="D1" s="56"/>
      <c r="E1" s="56"/>
      <c r="F1" s="56"/>
      <c r="G1" s="56"/>
      <c r="H1" s="56"/>
      <c r="I1" s="56"/>
      <c r="J1" s="56"/>
      <c r="P1" s="47"/>
    </row>
    <row r="2" spans="1:22" ht="45.75" customHeight="1" thickBot="1" x14ac:dyDescent="0.3">
      <c r="A2" s="22" t="s">
        <v>1338</v>
      </c>
      <c r="B2" s="23" t="s">
        <v>1339</v>
      </c>
      <c r="C2" s="50" t="s">
        <v>1340</v>
      </c>
      <c r="D2" s="51"/>
      <c r="E2" s="51"/>
      <c r="F2" s="51"/>
      <c r="G2" s="51"/>
      <c r="H2" s="51"/>
      <c r="I2" s="52"/>
      <c r="J2" s="28" t="s">
        <v>1341</v>
      </c>
      <c r="K2" s="28" t="s">
        <v>1342</v>
      </c>
      <c r="L2" s="28" t="s">
        <v>1343</v>
      </c>
      <c r="M2" s="53" t="s">
        <v>1344</v>
      </c>
      <c r="N2" s="54"/>
      <c r="O2" s="28" t="s">
        <v>1345</v>
      </c>
      <c r="P2" s="28" t="s">
        <v>1354</v>
      </c>
      <c r="Q2" s="57"/>
      <c r="R2" s="58"/>
      <c r="S2" s="58" t="s">
        <v>1346</v>
      </c>
      <c r="T2" s="58"/>
      <c r="U2" s="59"/>
    </row>
    <row r="3" spans="1:22" s="21" customFormat="1" ht="54" customHeight="1" x14ac:dyDescent="0.25">
      <c r="A3" s="32" t="s">
        <v>5</v>
      </c>
      <c r="B3" s="33" t="s">
        <v>6</v>
      </c>
      <c r="C3" s="34" t="s">
        <v>1348</v>
      </c>
      <c r="D3" s="35" t="s">
        <v>1349</v>
      </c>
      <c r="E3" s="35" t="s">
        <v>1350</v>
      </c>
      <c r="F3" s="34" t="s">
        <v>1351</v>
      </c>
      <c r="G3" s="34" t="s">
        <v>1352</v>
      </c>
      <c r="H3" s="34" t="s">
        <v>912</v>
      </c>
      <c r="I3" s="34" t="s">
        <v>913</v>
      </c>
      <c r="J3" s="34" t="s">
        <v>1353</v>
      </c>
      <c r="K3" s="36" t="s">
        <v>910</v>
      </c>
      <c r="L3" s="33" t="s">
        <v>911</v>
      </c>
      <c r="M3" s="37" t="s">
        <v>1291</v>
      </c>
      <c r="N3" s="37" t="s">
        <v>1292</v>
      </c>
      <c r="O3" s="37" t="s">
        <v>1293</v>
      </c>
      <c r="P3" s="38" t="s">
        <v>1289</v>
      </c>
      <c r="Q3" s="37" t="s">
        <v>0</v>
      </c>
      <c r="R3" s="37" t="s">
        <v>1</v>
      </c>
      <c r="S3" s="37" t="s">
        <v>2</v>
      </c>
      <c r="T3" s="37" t="s">
        <v>3</v>
      </c>
      <c r="U3" s="39" t="s">
        <v>4</v>
      </c>
    </row>
    <row r="4" spans="1:22" ht="26.25" x14ac:dyDescent="0.25">
      <c r="A4" s="3" t="s">
        <v>161</v>
      </c>
      <c r="B4" s="2" t="s">
        <v>162</v>
      </c>
      <c r="C4" s="29" t="s">
        <v>1365</v>
      </c>
      <c r="D4" s="30" t="s">
        <v>1369</v>
      </c>
      <c r="E4" s="30" t="s">
        <v>1369</v>
      </c>
      <c r="F4" s="30" t="s">
        <v>1369</v>
      </c>
      <c r="G4" s="30" t="s">
        <v>1369</v>
      </c>
      <c r="H4" s="30" t="s">
        <v>1369</v>
      </c>
      <c r="I4" s="30" t="s">
        <v>1369</v>
      </c>
      <c r="J4" s="29" t="s">
        <v>1470</v>
      </c>
      <c r="K4" s="6" t="str">
        <f>HYPERLINK("http://explorer.natureserve.org/servlet/NatureServe?searchSpeciesUid=ELEMENT_GLOBAL.2.152370")</f>
        <v>http://explorer.natureserve.org/servlet/NatureServe?searchSpeciesUid=ELEMENT_GLOBAL.2.152370</v>
      </c>
      <c r="L4" s="25" t="s">
        <v>62</v>
      </c>
      <c r="M4" s="1" t="s">
        <v>914</v>
      </c>
      <c r="N4" s="1" t="s">
        <v>160</v>
      </c>
      <c r="O4" s="1" t="s">
        <v>32</v>
      </c>
      <c r="P4" s="31"/>
      <c r="Q4" s="1" t="s">
        <v>105</v>
      </c>
      <c r="R4" s="1" t="s">
        <v>156</v>
      </c>
      <c r="S4" s="1" t="s">
        <v>157</v>
      </c>
      <c r="T4" s="1" t="s">
        <v>158</v>
      </c>
      <c r="U4" s="1" t="s">
        <v>159</v>
      </c>
    </row>
    <row r="5" spans="1:22" ht="26.25" x14ac:dyDescent="0.25">
      <c r="A5" s="3" t="s">
        <v>621</v>
      </c>
      <c r="B5" s="2" t="s">
        <v>622</v>
      </c>
      <c r="C5" s="14" t="s">
        <v>1370</v>
      </c>
      <c r="D5" s="14" t="s">
        <v>1370</v>
      </c>
      <c r="E5" s="14" t="s">
        <v>1363</v>
      </c>
      <c r="F5" s="13"/>
      <c r="G5" s="13"/>
      <c r="H5" s="13"/>
      <c r="I5" s="13"/>
      <c r="J5" s="13" t="s">
        <v>1477</v>
      </c>
      <c r="K5" s="6" t="str">
        <f>HYPERLINK("http://explorer.natureserve.org/servlet/NatureServe?searchSpeciesUid=ELEMENT_GLOBAL.2.104351")</f>
        <v>http://explorer.natureserve.org/servlet/NatureServe?searchSpeciesUid=ELEMENT_GLOBAL.2.104351</v>
      </c>
      <c r="L5" s="25" t="s">
        <v>62</v>
      </c>
      <c r="M5" s="1" t="s">
        <v>915</v>
      </c>
      <c r="N5" s="1" t="s">
        <v>59</v>
      </c>
      <c r="O5" s="1" t="s">
        <v>32</v>
      </c>
      <c r="P5" s="26"/>
      <c r="Q5" s="1" t="s">
        <v>7</v>
      </c>
      <c r="R5" s="1" t="s">
        <v>55</v>
      </c>
      <c r="S5" s="1" t="s">
        <v>56</v>
      </c>
      <c r="T5" s="1" t="s">
        <v>619</v>
      </c>
      <c r="U5" s="1" t="s">
        <v>620</v>
      </c>
    </row>
    <row r="6" spans="1:22" ht="26.25" x14ac:dyDescent="0.25">
      <c r="A6" s="3" t="s">
        <v>701</v>
      </c>
      <c r="B6" s="2" t="s">
        <v>702</v>
      </c>
      <c r="C6" s="14" t="s">
        <v>1370</v>
      </c>
      <c r="D6" s="14" t="s">
        <v>1370</v>
      </c>
      <c r="E6" s="14" t="s">
        <v>1363</v>
      </c>
      <c r="F6" s="14" t="s">
        <v>1370</v>
      </c>
      <c r="G6" s="14" t="s">
        <v>1370</v>
      </c>
      <c r="H6" s="14" t="s">
        <v>1370</v>
      </c>
      <c r="I6" s="14" t="s">
        <v>1370</v>
      </c>
      <c r="J6" s="13" t="s">
        <v>1477</v>
      </c>
      <c r="K6" s="6" t="str">
        <f>HYPERLINK("http://explorer.natureserve.org/servlet/NatureServe?searchSpeciesUid=ELEMENT_GLOBAL.2.159330")</f>
        <v>http://explorer.natureserve.org/servlet/NatureServe?searchSpeciesUid=ELEMENT_GLOBAL.2.159330</v>
      </c>
      <c r="L6" s="25" t="s">
        <v>62</v>
      </c>
      <c r="M6" s="1" t="s">
        <v>914</v>
      </c>
      <c r="N6" s="1" t="s">
        <v>160</v>
      </c>
      <c r="O6" s="1" t="s">
        <v>32</v>
      </c>
      <c r="P6" s="26"/>
      <c r="Q6" s="1" t="s">
        <v>105</v>
      </c>
      <c r="R6" s="1" t="s">
        <v>185</v>
      </c>
      <c r="S6" s="1" t="s">
        <v>200</v>
      </c>
      <c r="T6" s="1" t="s">
        <v>699</v>
      </c>
      <c r="U6" s="1" t="s">
        <v>700</v>
      </c>
    </row>
    <row r="7" spans="1:22" ht="26.25" x14ac:dyDescent="0.25">
      <c r="A7" s="3" t="s">
        <v>800</v>
      </c>
      <c r="B7" s="2" t="s">
        <v>801</v>
      </c>
      <c r="C7" s="14" t="s">
        <v>151</v>
      </c>
      <c r="D7" s="14" t="s">
        <v>1367</v>
      </c>
      <c r="E7" s="14" t="s">
        <v>151</v>
      </c>
      <c r="F7" s="14" t="s">
        <v>151</v>
      </c>
      <c r="G7" s="14" t="s">
        <v>151</v>
      </c>
      <c r="H7" s="14" t="s">
        <v>151</v>
      </c>
      <c r="I7" s="14" t="s">
        <v>151</v>
      </c>
      <c r="J7" s="13" t="s">
        <v>1474</v>
      </c>
      <c r="K7" s="6" t="str">
        <f>HYPERLINK("http://explorer.natureserve.org/servlet/NatureServe?searchSpeciesUid=ELEMENT_GLOBAL.2.145639")</f>
        <v>http://explorer.natureserve.org/servlet/NatureServe?searchSpeciesUid=ELEMENT_GLOBAL.2.145639</v>
      </c>
      <c r="L7" s="25" t="s">
        <v>62</v>
      </c>
      <c r="M7" s="1" t="s">
        <v>914</v>
      </c>
      <c r="N7" s="1" t="s">
        <v>160</v>
      </c>
      <c r="O7" s="1" t="s">
        <v>32</v>
      </c>
      <c r="P7" s="26"/>
      <c r="Q7" s="1" t="s">
        <v>105</v>
      </c>
      <c r="R7" s="1" t="s">
        <v>185</v>
      </c>
      <c r="S7" s="1" t="s">
        <v>200</v>
      </c>
      <c r="T7" s="1" t="s">
        <v>699</v>
      </c>
      <c r="U7" s="1" t="s">
        <v>700</v>
      </c>
      <c r="V7" s="1"/>
    </row>
    <row r="8" spans="1:22" ht="26.25" x14ac:dyDescent="0.25">
      <c r="A8" s="3" t="s">
        <v>532</v>
      </c>
      <c r="B8" s="2" t="s">
        <v>533</v>
      </c>
      <c r="C8" s="13"/>
      <c r="D8" s="14" t="s">
        <v>1366</v>
      </c>
      <c r="E8" s="13"/>
      <c r="F8" s="13"/>
      <c r="G8" s="13"/>
      <c r="H8" s="13"/>
      <c r="I8" s="13"/>
      <c r="J8" s="29" t="s">
        <v>1470</v>
      </c>
      <c r="K8" s="6" t="str">
        <f>HYPERLINK("http://explorer.natureserve.org/servlet/NatureServe?searchSpeciesUid=ELEMENT_GLOBAL.2.104232")</f>
        <v>http://explorer.natureserve.org/servlet/NatureServe?searchSpeciesUid=ELEMENT_GLOBAL.2.104232</v>
      </c>
      <c r="L8" s="25" t="s">
        <v>82</v>
      </c>
      <c r="M8" s="1" t="s">
        <v>915</v>
      </c>
      <c r="N8" s="1" t="s">
        <v>86</v>
      </c>
      <c r="O8" s="1" t="s">
        <v>68</v>
      </c>
      <c r="P8" s="26"/>
      <c r="Q8" s="1" t="s">
        <v>7</v>
      </c>
      <c r="R8" s="1" t="s">
        <v>55</v>
      </c>
      <c r="S8" s="1" t="s">
        <v>83</v>
      </c>
      <c r="T8" s="1" t="s">
        <v>530</v>
      </c>
      <c r="U8" s="1" t="s">
        <v>531</v>
      </c>
    </row>
    <row r="9" spans="1:22" ht="26.25" x14ac:dyDescent="0.25">
      <c r="A9" s="3" t="s">
        <v>343</v>
      </c>
      <c r="B9" s="2" t="s">
        <v>344</v>
      </c>
      <c r="C9" s="13"/>
      <c r="D9" s="14" t="s">
        <v>1367</v>
      </c>
      <c r="E9" s="13"/>
      <c r="F9" s="13" t="s">
        <v>151</v>
      </c>
      <c r="G9" s="13" t="s">
        <v>151</v>
      </c>
      <c r="H9" s="13"/>
      <c r="I9" s="13"/>
      <c r="J9" s="13" t="s">
        <v>1474</v>
      </c>
      <c r="K9" s="6" t="str">
        <f>HYPERLINK("http://explorer.natureserve.org/servlet/NatureServe?searchSpeciesUid=ELEMENT_GLOBAL.2.828419")</f>
        <v>http://explorer.natureserve.org/servlet/NatureServe?searchSpeciesUid=ELEMENT_GLOBAL.2.828419</v>
      </c>
      <c r="L9" s="25" t="s">
        <v>62</v>
      </c>
      <c r="M9" s="1" t="s">
        <v>915</v>
      </c>
      <c r="N9" s="1" t="s">
        <v>171</v>
      </c>
      <c r="O9" s="1" t="s">
        <v>32</v>
      </c>
      <c r="P9" s="26"/>
      <c r="Q9" s="1" t="s">
        <v>7</v>
      </c>
      <c r="R9" s="1" t="s">
        <v>55</v>
      </c>
      <c r="S9" s="1" t="s">
        <v>168</v>
      </c>
      <c r="T9" s="1" t="s">
        <v>169</v>
      </c>
      <c r="U9" s="1" t="s">
        <v>170</v>
      </c>
    </row>
    <row r="10" spans="1:22" ht="26.25" x14ac:dyDescent="0.25">
      <c r="A10" s="7" t="s">
        <v>920</v>
      </c>
      <c r="B10" s="8" t="s">
        <v>921</v>
      </c>
      <c r="C10" s="13" t="s">
        <v>1368</v>
      </c>
      <c r="D10" s="14"/>
      <c r="E10" s="13" t="s">
        <v>1368</v>
      </c>
      <c r="F10" s="13" t="s">
        <v>1368</v>
      </c>
      <c r="G10" s="13"/>
      <c r="H10" s="13"/>
      <c r="I10" s="13" t="s">
        <v>1368</v>
      </c>
      <c r="J10" s="13" t="s">
        <v>1474</v>
      </c>
      <c r="K10" s="6" t="s">
        <v>917</v>
      </c>
      <c r="L10" s="25" t="s">
        <v>89</v>
      </c>
      <c r="M10" s="1" t="s">
        <v>914</v>
      </c>
      <c r="N10" s="1" t="s">
        <v>189</v>
      </c>
      <c r="O10" s="1" t="s">
        <v>32</v>
      </c>
      <c r="P10" s="26" t="s">
        <v>53</v>
      </c>
      <c r="Q10" s="1" t="s">
        <v>105</v>
      </c>
      <c r="R10" s="1" t="s">
        <v>185</v>
      </c>
      <c r="S10" s="1" t="s">
        <v>200</v>
      </c>
      <c r="T10" s="1" t="s">
        <v>918</v>
      </c>
      <c r="U10" s="1" t="s">
        <v>919</v>
      </c>
    </row>
    <row r="11" spans="1:22" ht="26.25" x14ac:dyDescent="0.25">
      <c r="A11" s="3" t="s">
        <v>631</v>
      </c>
      <c r="B11" s="2" t="s">
        <v>632</v>
      </c>
      <c r="C11" s="14" t="s">
        <v>1371</v>
      </c>
      <c r="D11" s="14" t="s">
        <v>1371</v>
      </c>
      <c r="E11" s="13" t="s">
        <v>1372</v>
      </c>
      <c r="F11" s="14" t="s">
        <v>1371</v>
      </c>
      <c r="G11" s="14" t="s">
        <v>1371</v>
      </c>
      <c r="H11" s="14" t="s">
        <v>1371</v>
      </c>
      <c r="I11" s="14" t="s">
        <v>1371</v>
      </c>
      <c r="J11" s="13" t="s">
        <v>1474</v>
      </c>
      <c r="K11" s="6" t="str">
        <f>HYPERLINK("http://explorer.natureserve.org/servlet/NatureServe?searchSpeciesUid=ELEMENT_GLOBAL.2.106412")</f>
        <v>http://explorer.natureserve.org/servlet/NatureServe?searchSpeciesUid=ELEMENT_GLOBAL.2.106412</v>
      </c>
      <c r="L11" s="25" t="s">
        <v>62</v>
      </c>
      <c r="M11" s="1" t="s">
        <v>915</v>
      </c>
      <c r="N11" s="1" t="s">
        <v>59</v>
      </c>
      <c r="O11" s="1" t="s">
        <v>32</v>
      </c>
      <c r="P11" s="26"/>
      <c r="Q11" s="1" t="s">
        <v>7</v>
      </c>
      <c r="R11" s="1" t="s">
        <v>55</v>
      </c>
      <c r="S11" s="1" t="s">
        <v>56</v>
      </c>
      <c r="T11" s="1" t="s">
        <v>172</v>
      </c>
      <c r="U11" s="1" t="s">
        <v>630</v>
      </c>
    </row>
    <row r="12" spans="1:22" ht="45" customHeight="1" x14ac:dyDescent="0.25">
      <c r="A12" s="3" t="s">
        <v>923</v>
      </c>
      <c r="B12" s="2" t="s">
        <v>784</v>
      </c>
      <c r="C12" s="15" t="s">
        <v>1483</v>
      </c>
      <c r="D12" s="60" t="s">
        <v>1484</v>
      </c>
      <c r="E12" s="15" t="s">
        <v>1485</v>
      </c>
      <c r="F12" s="15" t="s">
        <v>1483</v>
      </c>
      <c r="G12" s="15" t="s">
        <v>1483</v>
      </c>
      <c r="H12" s="15" t="s">
        <v>1483</v>
      </c>
      <c r="I12" s="15" t="s">
        <v>1483</v>
      </c>
      <c r="J12" s="15" t="s">
        <v>1480</v>
      </c>
      <c r="K12" s="6" t="str">
        <f>HYPERLINK("http://explorer.natureserve.org/servlet/NatureServe?searchSpeciesUid=ELEMENT_GLOBAL.2.113006")</f>
        <v>http://explorer.natureserve.org/servlet/NatureServe?searchSpeciesUid=ELEMENT_GLOBAL.2.113006</v>
      </c>
      <c r="L12" s="25" t="s">
        <v>89</v>
      </c>
      <c r="M12" s="1" t="s">
        <v>922</v>
      </c>
      <c r="N12" s="1" t="s">
        <v>12</v>
      </c>
      <c r="O12" s="1" t="s">
        <v>32</v>
      </c>
      <c r="P12" s="26"/>
      <c r="Q12" s="1" t="s">
        <v>7</v>
      </c>
      <c r="R12" s="1" t="s">
        <v>8</v>
      </c>
      <c r="S12" s="1" t="s">
        <v>9</v>
      </c>
      <c r="T12" s="1" t="s">
        <v>207</v>
      </c>
      <c r="U12" s="1" t="s">
        <v>783</v>
      </c>
    </row>
    <row r="13" spans="1:22" ht="26.25" x14ac:dyDescent="0.25">
      <c r="A13" s="3" t="s">
        <v>925</v>
      </c>
      <c r="B13" s="2" t="s">
        <v>155</v>
      </c>
      <c r="C13" s="13"/>
      <c r="D13" s="14"/>
      <c r="E13" s="13" t="s">
        <v>1375</v>
      </c>
      <c r="F13" s="13" t="s">
        <v>1374</v>
      </c>
      <c r="G13" s="14" t="s">
        <v>1364</v>
      </c>
      <c r="H13" s="13"/>
      <c r="I13" s="13"/>
      <c r="J13" s="13" t="s">
        <v>1477</v>
      </c>
      <c r="K13" s="6" t="s">
        <v>924</v>
      </c>
      <c r="L13" s="25" t="s">
        <v>52</v>
      </c>
      <c r="M13" s="1" t="s">
        <v>915</v>
      </c>
      <c r="N13" s="1" t="s">
        <v>59</v>
      </c>
      <c r="O13" s="1" t="s">
        <v>32</v>
      </c>
      <c r="P13" s="26"/>
      <c r="Q13" s="1" t="s">
        <v>7</v>
      </c>
      <c r="R13" s="1" t="s">
        <v>55</v>
      </c>
      <c r="S13" s="1" t="s">
        <v>56</v>
      </c>
      <c r="T13" s="1" t="s">
        <v>57</v>
      </c>
      <c r="U13" s="1" t="s">
        <v>154</v>
      </c>
    </row>
    <row r="14" spans="1:22" ht="46.5" customHeight="1" x14ac:dyDescent="0.25">
      <c r="A14" s="3" t="s">
        <v>379</v>
      </c>
      <c r="B14" s="2" t="s">
        <v>380</v>
      </c>
      <c r="C14" s="13" t="s">
        <v>1376</v>
      </c>
      <c r="D14" s="14" t="s">
        <v>1366</v>
      </c>
      <c r="E14" s="13"/>
      <c r="F14" s="13" t="s">
        <v>1377</v>
      </c>
      <c r="G14" s="13" t="s">
        <v>1377</v>
      </c>
      <c r="H14" s="13"/>
      <c r="I14" s="13"/>
      <c r="J14" s="13" t="s">
        <v>1472</v>
      </c>
      <c r="K14" s="6" t="str">
        <f>HYPERLINK("http://explorer.natureserve.org/servlet/NatureServe?searchSpeciesUid=ELEMENT_GLOBAL.2.108301")</f>
        <v>http://explorer.natureserve.org/servlet/NatureServe?searchSpeciesUid=ELEMENT_GLOBAL.2.108301</v>
      </c>
      <c r="L14" s="25" t="s">
        <v>192</v>
      </c>
      <c r="M14" s="1" t="s">
        <v>922</v>
      </c>
      <c r="N14" s="1" t="s">
        <v>67</v>
      </c>
      <c r="O14" s="1" t="s">
        <v>68</v>
      </c>
      <c r="P14" s="26"/>
      <c r="Q14" s="1" t="s">
        <v>7</v>
      </c>
      <c r="R14" s="1" t="s">
        <v>63</v>
      </c>
      <c r="S14" s="1" t="s">
        <v>64</v>
      </c>
      <c r="T14" s="1" t="s">
        <v>65</v>
      </c>
      <c r="U14" s="1" t="s">
        <v>66</v>
      </c>
    </row>
    <row r="15" spans="1:22" ht="26.25" x14ac:dyDescent="0.25">
      <c r="A15" s="3" t="s">
        <v>414</v>
      </c>
      <c r="B15" s="2" t="s">
        <v>415</v>
      </c>
      <c r="C15" s="13" t="s">
        <v>1378</v>
      </c>
      <c r="D15" s="13" t="s">
        <v>1378</v>
      </c>
      <c r="E15" s="13" t="s">
        <v>1379</v>
      </c>
      <c r="F15" s="13" t="s">
        <v>1378</v>
      </c>
      <c r="G15" s="13"/>
      <c r="H15" s="13"/>
      <c r="I15" s="13" t="s">
        <v>1378</v>
      </c>
      <c r="J15" s="29" t="s">
        <v>1470</v>
      </c>
      <c r="K15" s="6" t="str">
        <f>HYPERLINK("http://explorer.natureserve.org/servlet/NatureServe?searchSpeciesUid=ELEMENT_GLOBAL.2.109839")</f>
        <v>http://explorer.natureserve.org/servlet/NatureServe?searchSpeciesUid=ELEMENT_GLOBAL.2.109839</v>
      </c>
      <c r="L15" s="25" t="s">
        <v>52</v>
      </c>
      <c r="M15" s="1" t="s">
        <v>922</v>
      </c>
      <c r="N15" s="1" t="s">
        <v>67</v>
      </c>
      <c r="O15" s="1" t="s">
        <v>68</v>
      </c>
      <c r="P15" s="26"/>
      <c r="Q15" s="1" t="s">
        <v>7</v>
      </c>
      <c r="R15" s="1" t="s">
        <v>63</v>
      </c>
      <c r="S15" s="1" t="s">
        <v>64</v>
      </c>
      <c r="T15" s="1" t="s">
        <v>65</v>
      </c>
      <c r="U15" s="1" t="s">
        <v>66</v>
      </c>
    </row>
    <row r="16" spans="1:22" ht="26.25" x14ac:dyDescent="0.25">
      <c r="A16" s="3" t="s">
        <v>270</v>
      </c>
      <c r="B16" s="2" t="s">
        <v>271</v>
      </c>
      <c r="C16" s="13"/>
      <c r="D16" s="14" t="s">
        <v>1366</v>
      </c>
      <c r="E16" s="13" t="s">
        <v>1379</v>
      </c>
      <c r="F16" s="13" t="s">
        <v>1378</v>
      </c>
      <c r="G16" s="13" t="s">
        <v>1378</v>
      </c>
      <c r="H16" s="13" t="s">
        <v>1378</v>
      </c>
      <c r="I16" s="13"/>
      <c r="J16" s="29" t="s">
        <v>1470</v>
      </c>
      <c r="K16" s="6" t="str">
        <f>HYPERLINK("http://explorer.natureserve.org/servlet/NatureServe?searchSpeciesUid=ELEMENT_GLOBAL.2.111437")</f>
        <v>http://explorer.natureserve.org/servlet/NatureServe?searchSpeciesUid=ELEMENT_GLOBAL.2.111437</v>
      </c>
      <c r="L16" s="25" t="s">
        <v>52</v>
      </c>
      <c r="M16" s="1" t="s">
        <v>922</v>
      </c>
      <c r="N16" s="1" t="s">
        <v>67</v>
      </c>
      <c r="O16" s="1" t="s">
        <v>68</v>
      </c>
      <c r="P16" s="26"/>
      <c r="Q16" s="1" t="s">
        <v>7</v>
      </c>
      <c r="R16" s="1" t="s">
        <v>63</v>
      </c>
      <c r="S16" s="1" t="s">
        <v>64</v>
      </c>
      <c r="T16" s="1" t="s">
        <v>65</v>
      </c>
      <c r="U16" s="1" t="s">
        <v>66</v>
      </c>
    </row>
    <row r="17" spans="1:21" ht="26.25" x14ac:dyDescent="0.25">
      <c r="A17" s="3" t="s">
        <v>927</v>
      </c>
      <c r="B17" s="2" t="s">
        <v>928</v>
      </c>
      <c r="C17" s="13"/>
      <c r="D17" s="14"/>
      <c r="E17" s="13"/>
      <c r="F17" s="13"/>
      <c r="G17" s="13" t="s">
        <v>1380</v>
      </c>
      <c r="H17" s="13"/>
      <c r="I17" s="13"/>
      <c r="J17" s="13" t="s">
        <v>1477</v>
      </c>
      <c r="K17" s="6" t="s">
        <v>926</v>
      </c>
      <c r="L17" s="25" t="s">
        <v>62</v>
      </c>
      <c r="M17" s="1" t="s">
        <v>914</v>
      </c>
      <c r="N17" s="1" t="s">
        <v>189</v>
      </c>
      <c r="O17" s="1" t="s">
        <v>32</v>
      </c>
      <c r="P17" s="26"/>
      <c r="Q17" s="1" t="s">
        <v>105</v>
      </c>
      <c r="R17" s="1" t="s">
        <v>185</v>
      </c>
      <c r="S17" s="1" t="s">
        <v>186</v>
      </c>
      <c r="T17" s="1" t="s">
        <v>370</v>
      </c>
      <c r="U17" s="1" t="s">
        <v>371</v>
      </c>
    </row>
    <row r="18" spans="1:21" ht="26.25" x14ac:dyDescent="0.25">
      <c r="A18" s="3" t="s">
        <v>445</v>
      </c>
      <c r="B18" s="2" t="s">
        <v>446</v>
      </c>
      <c r="C18" s="13" t="s">
        <v>1382</v>
      </c>
      <c r="D18" s="13" t="s">
        <v>1382</v>
      </c>
      <c r="E18" s="13" t="s">
        <v>1383</v>
      </c>
      <c r="F18" s="13" t="s">
        <v>1382</v>
      </c>
      <c r="G18" s="13" t="s">
        <v>1382</v>
      </c>
      <c r="H18" s="13" t="s">
        <v>1382</v>
      </c>
      <c r="I18" s="13" t="s">
        <v>1382</v>
      </c>
      <c r="J18" s="13" t="s">
        <v>1473</v>
      </c>
      <c r="K18" s="6" t="str">
        <f>HYPERLINK("http://explorer.natureserve.org/servlet/NatureServe?searchSpeciesUid=ELEMENT_GLOBAL.2.127936")</f>
        <v>http://explorer.natureserve.org/servlet/NatureServe?searchSpeciesUid=ELEMENT_GLOBAL.2.127936</v>
      </c>
      <c r="L18" s="25" t="s">
        <v>355</v>
      </c>
      <c r="M18" s="1" t="s">
        <v>914</v>
      </c>
      <c r="N18" s="1" t="s">
        <v>189</v>
      </c>
      <c r="O18" s="1" t="s">
        <v>32</v>
      </c>
      <c r="P18" s="26"/>
      <c r="Q18" s="1" t="s">
        <v>105</v>
      </c>
      <c r="R18" s="1" t="s">
        <v>185</v>
      </c>
      <c r="S18" s="1" t="s">
        <v>200</v>
      </c>
      <c r="T18" s="1" t="s">
        <v>442</v>
      </c>
      <c r="U18" s="1" t="s">
        <v>443</v>
      </c>
    </row>
    <row r="19" spans="1:21" ht="26.25" x14ac:dyDescent="0.25">
      <c r="A19" s="3" t="s">
        <v>542</v>
      </c>
      <c r="B19" s="2" t="s">
        <v>543</v>
      </c>
      <c r="C19" s="13"/>
      <c r="D19" s="14"/>
      <c r="E19" s="14" t="s">
        <v>1363</v>
      </c>
      <c r="F19" s="13"/>
      <c r="G19" s="13"/>
      <c r="H19" s="13"/>
      <c r="I19" s="13"/>
      <c r="J19" s="13" t="s">
        <v>1477</v>
      </c>
      <c r="K19" s="6" t="s">
        <v>930</v>
      </c>
      <c r="L19" s="25" t="s">
        <v>544</v>
      </c>
      <c r="M19" s="1" t="s">
        <v>914</v>
      </c>
      <c r="N19" s="1" t="s">
        <v>189</v>
      </c>
      <c r="O19" s="1" t="s">
        <v>32</v>
      </c>
      <c r="P19" s="26"/>
      <c r="Q19" s="1" t="s">
        <v>105</v>
      </c>
      <c r="R19" s="1" t="s">
        <v>185</v>
      </c>
      <c r="S19" s="1" t="s">
        <v>186</v>
      </c>
      <c r="T19" s="1" t="s">
        <v>419</v>
      </c>
      <c r="U19" s="1" t="s">
        <v>420</v>
      </c>
    </row>
    <row r="20" spans="1:21" ht="26.25" x14ac:dyDescent="0.25">
      <c r="A20" s="3" t="s">
        <v>589</v>
      </c>
      <c r="B20" s="2" t="s">
        <v>590</v>
      </c>
      <c r="C20" s="13"/>
      <c r="D20" s="14"/>
      <c r="E20" s="13" t="s">
        <v>1372</v>
      </c>
      <c r="F20" s="13"/>
      <c r="G20" s="13"/>
      <c r="H20" s="13"/>
      <c r="I20" s="13"/>
      <c r="J20" s="13" t="s">
        <v>1474</v>
      </c>
      <c r="K20" s="6" t="s">
        <v>931</v>
      </c>
      <c r="L20" s="25" t="s">
        <v>116</v>
      </c>
      <c r="M20" s="1" t="s">
        <v>922</v>
      </c>
      <c r="N20" s="1" t="s">
        <v>12</v>
      </c>
      <c r="O20" s="1" t="s">
        <v>32</v>
      </c>
      <c r="P20" s="26"/>
      <c r="Q20" s="1" t="s">
        <v>7</v>
      </c>
      <c r="R20" s="1" t="s">
        <v>8</v>
      </c>
      <c r="S20" s="1" t="s">
        <v>9</v>
      </c>
      <c r="T20" s="1" t="s">
        <v>48</v>
      </c>
      <c r="U20" s="1" t="s">
        <v>588</v>
      </c>
    </row>
    <row r="21" spans="1:21" ht="26.25" x14ac:dyDescent="0.25">
      <c r="A21" s="3" t="s">
        <v>149</v>
      </c>
      <c r="B21" s="2" t="s">
        <v>150</v>
      </c>
      <c r="C21" s="14" t="s">
        <v>1371</v>
      </c>
      <c r="D21" s="14"/>
      <c r="E21" s="13" t="s">
        <v>1372</v>
      </c>
      <c r="F21" s="13"/>
      <c r="G21" s="13"/>
      <c r="H21" s="14" t="s">
        <v>1371</v>
      </c>
      <c r="I21" s="13"/>
      <c r="J21" s="13" t="s">
        <v>1474</v>
      </c>
      <c r="K21" s="6" t="s">
        <v>932</v>
      </c>
      <c r="L21" s="25" t="s">
        <v>52</v>
      </c>
      <c r="M21" s="1" t="s">
        <v>922</v>
      </c>
      <c r="N21" s="1" t="s">
        <v>12</v>
      </c>
      <c r="O21" s="1" t="s">
        <v>32</v>
      </c>
      <c r="P21" s="26"/>
      <c r="Q21" s="1" t="s">
        <v>7</v>
      </c>
      <c r="R21" s="1" t="s">
        <v>8</v>
      </c>
      <c r="S21" s="1" t="s">
        <v>9</v>
      </c>
      <c r="T21" s="1" t="s">
        <v>48</v>
      </c>
      <c r="U21" s="1" t="s">
        <v>148</v>
      </c>
    </row>
    <row r="22" spans="1:21" ht="26.25" x14ac:dyDescent="0.25">
      <c r="A22" s="3" t="s">
        <v>368</v>
      </c>
      <c r="B22" s="2" t="s">
        <v>369</v>
      </c>
      <c r="C22" s="14" t="s">
        <v>1371</v>
      </c>
      <c r="D22" s="14"/>
      <c r="E22" s="13" t="s">
        <v>1372</v>
      </c>
      <c r="F22" s="14" t="s">
        <v>1371</v>
      </c>
      <c r="G22" s="13"/>
      <c r="H22" s="13"/>
      <c r="I22" s="13"/>
      <c r="J22" s="13" t="s">
        <v>1474</v>
      </c>
      <c r="K22" s="6" t="s">
        <v>933</v>
      </c>
      <c r="L22" s="25" t="s">
        <v>52</v>
      </c>
      <c r="M22" s="1" t="s">
        <v>922</v>
      </c>
      <c r="N22" s="1" t="s">
        <v>12</v>
      </c>
      <c r="O22" s="1" t="s">
        <v>32</v>
      </c>
      <c r="P22" s="26"/>
      <c r="Q22" s="1" t="s">
        <v>7</v>
      </c>
      <c r="R22" s="1" t="s">
        <v>8</v>
      </c>
      <c r="S22" s="1" t="s">
        <v>9</v>
      </c>
      <c r="T22" s="1" t="s">
        <v>48</v>
      </c>
      <c r="U22" s="1" t="s">
        <v>148</v>
      </c>
    </row>
    <row r="23" spans="1:21" ht="26.25" x14ac:dyDescent="0.25">
      <c r="A23" s="3" t="s">
        <v>96</v>
      </c>
      <c r="B23" s="2" t="s">
        <v>97</v>
      </c>
      <c r="C23" s="13"/>
      <c r="D23" s="14" t="s">
        <v>1367</v>
      </c>
      <c r="E23" s="13"/>
      <c r="F23" s="13"/>
      <c r="G23" s="13"/>
      <c r="H23" s="13"/>
      <c r="I23" s="13"/>
      <c r="J23" s="13" t="s">
        <v>1474</v>
      </c>
      <c r="K23" s="6" t="str">
        <f>HYPERLINK("http://explorer.natureserve.org/servlet/NatureServe?searchSpeciesUid=ELEMENT_GLOBAL.2.101354")</f>
        <v>http://explorer.natureserve.org/servlet/NatureServe?searchSpeciesUid=ELEMENT_GLOBAL.2.101354</v>
      </c>
      <c r="L23" s="25" t="s">
        <v>62</v>
      </c>
      <c r="M23" s="1" t="s">
        <v>915</v>
      </c>
      <c r="N23" s="1" t="s">
        <v>86</v>
      </c>
      <c r="O23" s="1" t="s">
        <v>68</v>
      </c>
      <c r="P23" s="26"/>
      <c r="Q23" s="1" t="s">
        <v>7</v>
      </c>
      <c r="R23" s="1" t="s">
        <v>55</v>
      </c>
      <c r="S23" s="1" t="s">
        <v>83</v>
      </c>
      <c r="T23" s="1" t="s">
        <v>94</v>
      </c>
      <c r="U23" s="1" t="s">
        <v>95</v>
      </c>
    </row>
    <row r="24" spans="1:21" ht="26.25" x14ac:dyDescent="0.25">
      <c r="A24" s="3" t="s">
        <v>831</v>
      </c>
      <c r="B24" s="2" t="s">
        <v>832</v>
      </c>
      <c r="C24" s="13"/>
      <c r="D24" s="14" t="s">
        <v>1384</v>
      </c>
      <c r="E24" s="13"/>
      <c r="F24" s="13"/>
      <c r="G24" s="13"/>
      <c r="H24" s="13"/>
      <c r="I24" s="13"/>
      <c r="J24" s="13" t="s">
        <v>1471</v>
      </c>
      <c r="K24" s="6" t="str">
        <f>HYPERLINK("http://explorer.natureserve.org/servlet/NatureServe?searchSpeciesUid=ELEMENT_GLOBAL.2.118891")</f>
        <v>http://explorer.natureserve.org/servlet/NatureServe?searchSpeciesUid=ELEMENT_GLOBAL.2.118891</v>
      </c>
      <c r="L24" s="25" t="s">
        <v>62</v>
      </c>
      <c r="M24" s="1" t="s">
        <v>922</v>
      </c>
      <c r="N24" s="1" t="s">
        <v>67</v>
      </c>
      <c r="O24" s="1" t="s">
        <v>68</v>
      </c>
      <c r="P24" s="26"/>
      <c r="Q24" s="1" t="s">
        <v>7</v>
      </c>
      <c r="R24" s="1" t="s">
        <v>63</v>
      </c>
      <c r="S24" s="1" t="s">
        <v>64</v>
      </c>
      <c r="T24" s="1" t="s">
        <v>65</v>
      </c>
      <c r="U24" s="1" t="s">
        <v>66</v>
      </c>
    </row>
    <row r="25" spans="1:21" ht="26.25" x14ac:dyDescent="0.25">
      <c r="A25" s="3" t="s">
        <v>798</v>
      </c>
      <c r="B25" s="2" t="s">
        <v>799</v>
      </c>
      <c r="C25" s="13"/>
      <c r="D25" s="14"/>
      <c r="E25" s="13" t="s">
        <v>1379</v>
      </c>
      <c r="F25" s="13"/>
      <c r="G25" s="13"/>
      <c r="H25" s="13"/>
      <c r="I25" s="13"/>
      <c r="J25" s="29" t="s">
        <v>1470</v>
      </c>
      <c r="K25" s="6" t="s">
        <v>934</v>
      </c>
      <c r="L25" s="25" t="s">
        <v>89</v>
      </c>
      <c r="M25" s="1" t="s">
        <v>915</v>
      </c>
      <c r="N25" s="1" t="s">
        <v>171</v>
      </c>
      <c r="O25" s="1" t="s">
        <v>32</v>
      </c>
      <c r="P25" s="26"/>
      <c r="Q25" s="1" t="s">
        <v>7</v>
      </c>
      <c r="R25" s="1" t="s">
        <v>55</v>
      </c>
      <c r="S25" s="1" t="s">
        <v>168</v>
      </c>
      <c r="T25" s="1" t="s">
        <v>304</v>
      </c>
      <c r="U25" s="1" t="s">
        <v>406</v>
      </c>
    </row>
    <row r="26" spans="1:21" ht="26.25" x14ac:dyDescent="0.25">
      <c r="A26" s="3" t="s">
        <v>512</v>
      </c>
      <c r="B26" s="2" t="s">
        <v>513</v>
      </c>
      <c r="C26" s="13" t="s">
        <v>1376</v>
      </c>
      <c r="D26" s="14" t="s">
        <v>1385</v>
      </c>
      <c r="E26" s="14" t="s">
        <v>1385</v>
      </c>
      <c r="F26" s="14" t="s">
        <v>1385</v>
      </c>
      <c r="G26" s="14" t="s">
        <v>1385</v>
      </c>
      <c r="H26" s="14" t="s">
        <v>1385</v>
      </c>
      <c r="I26" s="14" t="s">
        <v>1385</v>
      </c>
      <c r="J26" s="13" t="s">
        <v>1471</v>
      </c>
      <c r="K26" s="6" t="str">
        <f>HYPERLINK("http://explorer.natureserve.org/servlet/NatureServe?searchSpeciesUid=ELEMENT_GLOBAL.2.100401")</f>
        <v>http://explorer.natureserve.org/servlet/NatureServe?searchSpeciesUid=ELEMENT_GLOBAL.2.100401</v>
      </c>
      <c r="L26" s="25" t="s">
        <v>89</v>
      </c>
      <c r="M26" s="1" t="s">
        <v>915</v>
      </c>
      <c r="N26" s="1" t="s">
        <v>171</v>
      </c>
      <c r="O26" s="1" t="s">
        <v>32</v>
      </c>
      <c r="P26" s="26"/>
      <c r="Q26" s="1" t="s">
        <v>7</v>
      </c>
      <c r="R26" s="1" t="s">
        <v>55</v>
      </c>
      <c r="S26" s="1" t="s">
        <v>168</v>
      </c>
      <c r="T26" s="1" t="s">
        <v>304</v>
      </c>
      <c r="U26" s="1" t="s">
        <v>406</v>
      </c>
    </row>
    <row r="27" spans="1:21" ht="26.25" x14ac:dyDescent="0.25">
      <c r="A27" s="3" t="s">
        <v>565</v>
      </c>
      <c r="B27" s="2" t="s">
        <v>566</v>
      </c>
      <c r="C27" s="13"/>
      <c r="D27" s="14" t="s">
        <v>1384</v>
      </c>
      <c r="E27" s="13"/>
      <c r="F27" s="13"/>
      <c r="G27" s="13"/>
      <c r="H27" s="13"/>
      <c r="I27" s="13"/>
      <c r="J27" s="13" t="s">
        <v>1471</v>
      </c>
      <c r="K27" s="6" t="str">
        <f>HYPERLINK("http://explorer.natureserve.org/servlet/NatureServe?searchSpeciesUid=ELEMENT_GLOBAL.2.104610")</f>
        <v>http://explorer.natureserve.org/servlet/NatureServe?searchSpeciesUid=ELEMENT_GLOBAL.2.104610</v>
      </c>
      <c r="L27" s="25" t="s">
        <v>62</v>
      </c>
      <c r="M27" s="1" t="s">
        <v>915</v>
      </c>
      <c r="N27" s="1" t="s">
        <v>171</v>
      </c>
      <c r="O27" s="1" t="s">
        <v>32</v>
      </c>
      <c r="P27" s="26"/>
      <c r="Q27" s="1" t="s">
        <v>7</v>
      </c>
      <c r="R27" s="1" t="s">
        <v>55</v>
      </c>
      <c r="S27" s="1" t="s">
        <v>168</v>
      </c>
      <c r="T27" s="1" t="s">
        <v>304</v>
      </c>
      <c r="U27" s="1" t="s">
        <v>406</v>
      </c>
    </row>
    <row r="28" spans="1:21" ht="26.25" x14ac:dyDescent="0.25">
      <c r="A28" s="3" t="s">
        <v>763</v>
      </c>
      <c r="B28" s="2" t="s">
        <v>764</v>
      </c>
      <c r="C28" s="13"/>
      <c r="D28" s="14"/>
      <c r="E28" s="13" t="s">
        <v>1386</v>
      </c>
      <c r="F28" s="13"/>
      <c r="G28" s="13"/>
      <c r="H28" s="13"/>
      <c r="I28" s="13" t="s">
        <v>1387</v>
      </c>
      <c r="J28" s="13" t="s">
        <v>1471</v>
      </c>
      <c r="K28" s="6" t="s">
        <v>936</v>
      </c>
      <c r="L28" s="25" t="s">
        <v>62</v>
      </c>
      <c r="M28" s="1" t="s">
        <v>915</v>
      </c>
      <c r="N28" s="1" t="s">
        <v>171</v>
      </c>
      <c r="O28" s="1" t="s">
        <v>32</v>
      </c>
      <c r="P28" s="26"/>
      <c r="Q28" s="1" t="s">
        <v>7</v>
      </c>
      <c r="R28" s="1" t="s">
        <v>55</v>
      </c>
      <c r="S28" s="1" t="s">
        <v>168</v>
      </c>
      <c r="T28" s="1" t="s">
        <v>304</v>
      </c>
      <c r="U28" s="1" t="s">
        <v>406</v>
      </c>
    </row>
    <row r="29" spans="1:21" ht="26.25" x14ac:dyDescent="0.25">
      <c r="A29" s="3" t="s">
        <v>407</v>
      </c>
      <c r="B29" s="2" t="s">
        <v>408</v>
      </c>
      <c r="C29" s="13"/>
      <c r="D29" s="14" t="s">
        <v>1366</v>
      </c>
      <c r="E29" s="13"/>
      <c r="F29" s="13" t="s">
        <v>151</v>
      </c>
      <c r="G29" s="13"/>
      <c r="H29" s="13"/>
      <c r="I29" s="13"/>
      <c r="J29" s="29" t="s">
        <v>1470</v>
      </c>
      <c r="K29" s="6" t="str">
        <f>HYPERLINK("http://explorer.natureserve.org/servlet/NatureServe?searchSpeciesUid=ELEMENT_GLOBAL.2.889738")</f>
        <v>http://explorer.natureserve.org/servlet/NatureServe?searchSpeciesUid=ELEMENT_GLOBAL.2.889738</v>
      </c>
      <c r="L29" s="25" t="s">
        <v>62</v>
      </c>
      <c r="M29" s="1" t="s">
        <v>915</v>
      </c>
      <c r="N29" s="1" t="s">
        <v>171</v>
      </c>
      <c r="O29" s="1" t="s">
        <v>32</v>
      </c>
      <c r="P29" s="26"/>
      <c r="Q29" s="1" t="s">
        <v>7</v>
      </c>
      <c r="R29" s="1" t="s">
        <v>55</v>
      </c>
      <c r="S29" s="1" t="s">
        <v>168</v>
      </c>
      <c r="T29" s="1" t="s">
        <v>304</v>
      </c>
      <c r="U29" s="1" t="s">
        <v>406</v>
      </c>
    </row>
    <row r="30" spans="1:21" ht="26.25" x14ac:dyDescent="0.25">
      <c r="A30" s="3" t="s">
        <v>401</v>
      </c>
      <c r="B30" s="2" t="s">
        <v>402</v>
      </c>
      <c r="C30" s="13"/>
      <c r="D30" s="14" t="s">
        <v>1367</v>
      </c>
      <c r="E30" s="13"/>
      <c r="F30" s="13"/>
      <c r="G30" s="13"/>
      <c r="H30" s="13"/>
      <c r="I30" s="13"/>
      <c r="J30" s="13" t="s">
        <v>1474</v>
      </c>
      <c r="K30" s="6" t="str">
        <f>HYPERLINK("http://explorer.natureserve.org/servlet/NatureServe?searchSpeciesUid=ELEMENT_GLOBAL.2.100745")</f>
        <v>http://explorer.natureserve.org/servlet/NatureServe?searchSpeciesUid=ELEMENT_GLOBAL.2.100745</v>
      </c>
      <c r="L30" s="25" t="s">
        <v>89</v>
      </c>
      <c r="M30" s="1" t="s">
        <v>915</v>
      </c>
      <c r="N30" s="1" t="s">
        <v>86</v>
      </c>
      <c r="O30" s="1" t="s">
        <v>68</v>
      </c>
      <c r="P30" s="26"/>
      <c r="Q30" s="1" t="s">
        <v>7</v>
      </c>
      <c r="R30" s="1" t="s">
        <v>55</v>
      </c>
      <c r="S30" s="1" t="s">
        <v>83</v>
      </c>
      <c r="T30" s="1" t="s">
        <v>164</v>
      </c>
      <c r="U30" s="1" t="s">
        <v>289</v>
      </c>
    </row>
    <row r="31" spans="1:21" ht="39" x14ac:dyDescent="0.25">
      <c r="A31" s="3" t="s">
        <v>496</v>
      </c>
      <c r="B31" s="2" t="s">
        <v>497</v>
      </c>
      <c r="C31" s="13" t="s">
        <v>1389</v>
      </c>
      <c r="D31" s="14" t="s">
        <v>1388</v>
      </c>
      <c r="E31" s="13" t="s">
        <v>1383</v>
      </c>
      <c r="F31" s="13"/>
      <c r="G31" s="13"/>
      <c r="H31" s="13"/>
      <c r="I31" s="13" t="s">
        <v>1390</v>
      </c>
      <c r="J31" s="13" t="s">
        <v>1479</v>
      </c>
      <c r="K31" s="6" t="str">
        <f>HYPERLINK("http://explorer.natureserve.org/servlet/NatureServe?searchSpeciesUid=ELEMENT_GLOBAL.2.100620")</f>
        <v>http://explorer.natureserve.org/servlet/NatureServe?searchSpeciesUid=ELEMENT_GLOBAL.2.100620</v>
      </c>
      <c r="L31" s="25" t="s">
        <v>89</v>
      </c>
      <c r="M31" s="1" t="s">
        <v>915</v>
      </c>
      <c r="N31" s="1" t="s">
        <v>59</v>
      </c>
      <c r="O31" s="1" t="s">
        <v>32</v>
      </c>
      <c r="P31" s="26"/>
      <c r="Q31" s="1" t="s">
        <v>7</v>
      </c>
      <c r="R31" s="1" t="s">
        <v>55</v>
      </c>
      <c r="S31" s="1" t="s">
        <v>56</v>
      </c>
      <c r="T31" s="1" t="s">
        <v>57</v>
      </c>
      <c r="U31" s="1" t="s">
        <v>154</v>
      </c>
    </row>
    <row r="32" spans="1:21" ht="51.75" x14ac:dyDescent="0.25">
      <c r="A32" s="3" t="s">
        <v>263</v>
      </c>
      <c r="B32" s="2" t="s">
        <v>264</v>
      </c>
      <c r="C32" s="29" t="s">
        <v>1365</v>
      </c>
      <c r="D32" s="14" t="s">
        <v>1392</v>
      </c>
      <c r="E32" s="14" t="s">
        <v>1392</v>
      </c>
      <c r="F32" s="13"/>
      <c r="G32" s="13" t="s">
        <v>1391</v>
      </c>
      <c r="H32" s="13"/>
      <c r="I32" s="13" t="s">
        <v>163</v>
      </c>
      <c r="J32" s="13" t="s">
        <v>1478</v>
      </c>
      <c r="K32" s="6" t="str">
        <f>HYPERLINK("http://explorer.natureserve.org/servlet/NatureServe?searchSpeciesUid=ELEMENT_GLOBAL.2.148743")</f>
        <v>http://explorer.natureserve.org/servlet/NatureServe?searchSpeciesUid=ELEMENT_GLOBAL.2.148743</v>
      </c>
      <c r="L32" s="25" t="s">
        <v>62</v>
      </c>
      <c r="M32" s="1" t="s">
        <v>914</v>
      </c>
      <c r="N32" s="1" t="s">
        <v>252</v>
      </c>
      <c r="O32" s="1" t="s">
        <v>32</v>
      </c>
      <c r="P32" s="26"/>
      <c r="Q32" s="1" t="s">
        <v>105</v>
      </c>
      <c r="R32" s="1" t="s">
        <v>185</v>
      </c>
      <c r="S32" s="1" t="s">
        <v>200</v>
      </c>
      <c r="T32" s="1" t="s">
        <v>250</v>
      </c>
      <c r="U32" s="1" t="s">
        <v>251</v>
      </c>
    </row>
    <row r="33" spans="1:21" ht="26.25" x14ac:dyDescent="0.25">
      <c r="A33" s="3" t="s">
        <v>472</v>
      </c>
      <c r="B33" s="2" t="s">
        <v>473</v>
      </c>
      <c r="C33" s="14" t="s">
        <v>1371</v>
      </c>
      <c r="D33" s="14"/>
      <c r="E33" s="13" t="s">
        <v>1372</v>
      </c>
      <c r="F33" s="13"/>
      <c r="G33" s="13"/>
      <c r="H33" s="13"/>
      <c r="I33" s="14" t="s">
        <v>1371</v>
      </c>
      <c r="J33" s="13" t="s">
        <v>1474</v>
      </c>
      <c r="K33" s="6" t="s">
        <v>937</v>
      </c>
      <c r="L33" s="25" t="s">
        <v>82</v>
      </c>
      <c r="M33" s="1" t="s">
        <v>915</v>
      </c>
      <c r="N33" s="1" t="s">
        <v>171</v>
      </c>
      <c r="O33" s="1" t="s">
        <v>32</v>
      </c>
      <c r="P33" s="26"/>
      <c r="Q33" s="1" t="s">
        <v>7</v>
      </c>
      <c r="R33" s="1" t="s">
        <v>55</v>
      </c>
      <c r="S33" s="1" t="s">
        <v>168</v>
      </c>
      <c r="T33" s="1" t="s">
        <v>304</v>
      </c>
      <c r="U33" s="1" t="s">
        <v>305</v>
      </c>
    </row>
    <row r="34" spans="1:21" ht="51.75" x14ac:dyDescent="0.25">
      <c r="A34" s="3" t="s">
        <v>87</v>
      </c>
      <c r="B34" s="2" t="s">
        <v>88</v>
      </c>
      <c r="C34" s="13" t="s">
        <v>1394</v>
      </c>
      <c r="D34" s="14" t="s">
        <v>1367</v>
      </c>
      <c r="E34" s="13" t="s">
        <v>1393</v>
      </c>
      <c r="F34" s="13" t="s">
        <v>1394</v>
      </c>
      <c r="G34" s="13"/>
      <c r="H34" s="13" t="s">
        <v>1394</v>
      </c>
      <c r="I34" s="13" t="s">
        <v>1394</v>
      </c>
      <c r="J34" s="13" t="s">
        <v>1482</v>
      </c>
      <c r="K34" s="6" t="str">
        <f>HYPERLINK("http://explorer.natureserve.org/servlet/NatureServe?searchSpeciesUid=ELEMENT_GLOBAL.2.102540")</f>
        <v>http://explorer.natureserve.org/servlet/NatureServe?searchSpeciesUid=ELEMENT_GLOBAL.2.102540</v>
      </c>
      <c r="L34" s="25" t="s">
        <v>89</v>
      </c>
      <c r="M34" s="1" t="s">
        <v>915</v>
      </c>
      <c r="N34" s="1" t="s">
        <v>86</v>
      </c>
      <c r="O34" s="1" t="s">
        <v>68</v>
      </c>
      <c r="P34" s="26"/>
      <c r="Q34" s="1" t="s">
        <v>7</v>
      </c>
      <c r="R34" s="1" t="s">
        <v>55</v>
      </c>
      <c r="S34" s="1" t="s">
        <v>83</v>
      </c>
      <c r="T34" s="1" t="s">
        <v>84</v>
      </c>
      <c r="U34" s="1" t="s">
        <v>85</v>
      </c>
    </row>
    <row r="35" spans="1:21" ht="26.25" x14ac:dyDescent="0.25">
      <c r="A35" s="3" t="s">
        <v>69</v>
      </c>
      <c r="B35" s="2" t="s">
        <v>70</v>
      </c>
      <c r="C35" s="13"/>
      <c r="D35" s="14" t="s">
        <v>1367</v>
      </c>
      <c r="E35" s="13"/>
      <c r="F35" s="13"/>
      <c r="G35" s="13"/>
      <c r="H35" s="13"/>
      <c r="I35" s="13"/>
      <c r="J35" s="13" t="s">
        <v>1474</v>
      </c>
      <c r="K35" s="6" t="str">
        <f>HYPERLINK("http://explorer.natureserve.org/servlet/NatureServe?searchSpeciesUid=ELEMENT_GLOBAL.2.108462")</f>
        <v>http://explorer.natureserve.org/servlet/NatureServe?searchSpeciesUid=ELEMENT_GLOBAL.2.108462</v>
      </c>
      <c r="L35" s="25" t="s">
        <v>62</v>
      </c>
      <c r="M35" s="1" t="s">
        <v>922</v>
      </c>
      <c r="N35" s="1" t="s">
        <v>67</v>
      </c>
      <c r="O35" s="1" t="s">
        <v>68</v>
      </c>
      <c r="P35" s="26"/>
      <c r="Q35" s="1" t="s">
        <v>7</v>
      </c>
      <c r="R35" s="1" t="s">
        <v>63</v>
      </c>
      <c r="S35" s="1" t="s">
        <v>64</v>
      </c>
      <c r="T35" s="1" t="s">
        <v>65</v>
      </c>
      <c r="U35" s="1" t="s">
        <v>66</v>
      </c>
    </row>
    <row r="36" spans="1:21" ht="26.25" x14ac:dyDescent="0.25">
      <c r="A36" s="3" t="s">
        <v>562</v>
      </c>
      <c r="B36" s="2" t="s">
        <v>563</v>
      </c>
      <c r="C36" s="13"/>
      <c r="D36" s="14"/>
      <c r="E36" s="13" t="s">
        <v>1393</v>
      </c>
      <c r="F36" s="13" t="s">
        <v>1395</v>
      </c>
      <c r="G36" s="13"/>
      <c r="H36" s="13"/>
      <c r="I36" s="13"/>
      <c r="J36" s="13" t="s">
        <v>1477</v>
      </c>
      <c r="K36" s="6" t="s">
        <v>938</v>
      </c>
      <c r="L36" s="25" t="s">
        <v>564</v>
      </c>
      <c r="M36" s="1" t="s">
        <v>922</v>
      </c>
      <c r="N36" s="1" t="s">
        <v>21</v>
      </c>
      <c r="O36" s="1" t="s">
        <v>13</v>
      </c>
      <c r="P36" s="26"/>
      <c r="Q36" s="1" t="s">
        <v>7</v>
      </c>
      <c r="R36" s="1" t="s">
        <v>8</v>
      </c>
      <c r="S36" s="1" t="s">
        <v>71</v>
      </c>
      <c r="T36" s="1" t="s">
        <v>117</v>
      </c>
      <c r="U36" s="1" t="s">
        <v>561</v>
      </c>
    </row>
    <row r="37" spans="1:21" ht="26.25" x14ac:dyDescent="0.25">
      <c r="A37" s="3" t="s">
        <v>788</v>
      </c>
      <c r="B37" s="2" t="s">
        <v>789</v>
      </c>
      <c r="C37" s="13"/>
      <c r="D37" s="14" t="s">
        <v>1388</v>
      </c>
      <c r="E37" s="13"/>
      <c r="F37" s="13"/>
      <c r="G37" s="13" t="s">
        <v>151</v>
      </c>
      <c r="H37" s="13"/>
      <c r="I37" s="13"/>
      <c r="J37" s="13" t="s">
        <v>1477</v>
      </c>
      <c r="K37" s="6" t="str">
        <f>HYPERLINK("http://explorer.natureserve.org/servlet/NatureServe?searchSpeciesUid=ELEMENT_GLOBAL.2.100616")</f>
        <v>http://explorer.natureserve.org/servlet/NatureServe?searchSpeciesUid=ELEMENT_GLOBAL.2.100616</v>
      </c>
      <c r="L37" s="25" t="s">
        <v>62</v>
      </c>
      <c r="M37" s="1" t="s">
        <v>915</v>
      </c>
      <c r="N37" s="1" t="s">
        <v>171</v>
      </c>
      <c r="O37" s="1" t="s">
        <v>32</v>
      </c>
      <c r="P37" s="26"/>
      <c r="Q37" s="1" t="s">
        <v>7</v>
      </c>
      <c r="R37" s="1" t="s">
        <v>55</v>
      </c>
      <c r="S37" s="1" t="s">
        <v>228</v>
      </c>
      <c r="T37" s="1" t="s">
        <v>229</v>
      </c>
      <c r="U37" s="1" t="s">
        <v>787</v>
      </c>
    </row>
    <row r="38" spans="1:21" ht="26.25" x14ac:dyDescent="0.25">
      <c r="A38" s="3" t="s">
        <v>363</v>
      </c>
      <c r="B38" s="2" t="s">
        <v>364</v>
      </c>
      <c r="C38" s="13"/>
      <c r="D38" s="14"/>
      <c r="E38" s="13" t="s">
        <v>1393</v>
      </c>
      <c r="F38" s="13"/>
      <c r="G38" s="13"/>
      <c r="H38" s="13"/>
      <c r="I38" s="13"/>
      <c r="J38" s="13" t="s">
        <v>1477</v>
      </c>
      <c r="K38" s="6" t="s">
        <v>939</v>
      </c>
      <c r="L38" s="25" t="s">
        <v>15</v>
      </c>
      <c r="M38" s="1" t="s">
        <v>922</v>
      </c>
      <c r="N38" s="1" t="s">
        <v>21</v>
      </c>
      <c r="O38" s="1" t="s">
        <v>13</v>
      </c>
      <c r="P38" s="26"/>
      <c r="Q38" s="1" t="s">
        <v>7</v>
      </c>
      <c r="R38" s="1" t="s">
        <v>17</v>
      </c>
      <c r="S38" s="1" t="s">
        <v>18</v>
      </c>
      <c r="T38" s="1" t="s">
        <v>361</v>
      </c>
      <c r="U38" s="1" t="s">
        <v>362</v>
      </c>
    </row>
    <row r="39" spans="1:21" ht="26.25" x14ac:dyDescent="0.25">
      <c r="A39" s="3" t="s">
        <v>740</v>
      </c>
      <c r="B39" s="2" t="s">
        <v>741</v>
      </c>
      <c r="C39" s="13"/>
      <c r="D39" s="14"/>
      <c r="E39" s="13" t="s">
        <v>1386</v>
      </c>
      <c r="F39" s="13" t="s">
        <v>1387</v>
      </c>
      <c r="G39" s="13"/>
      <c r="H39" s="13"/>
      <c r="I39" s="13"/>
      <c r="J39" s="13" t="s">
        <v>1471</v>
      </c>
      <c r="K39" s="6" t="s">
        <v>940</v>
      </c>
      <c r="L39" s="25" t="s">
        <v>116</v>
      </c>
      <c r="M39" s="1" t="s">
        <v>914</v>
      </c>
      <c r="N39" s="1" t="s">
        <v>189</v>
      </c>
      <c r="O39" s="1" t="s">
        <v>32</v>
      </c>
      <c r="P39" s="26"/>
      <c r="Q39" s="1" t="s">
        <v>105</v>
      </c>
      <c r="R39" s="1" t="s">
        <v>185</v>
      </c>
      <c r="S39" s="1" t="s">
        <v>200</v>
      </c>
      <c r="T39" s="1" t="s">
        <v>442</v>
      </c>
      <c r="U39" s="1" t="s">
        <v>443</v>
      </c>
    </row>
    <row r="40" spans="1:21" ht="26.25" x14ac:dyDescent="0.25">
      <c r="A40" s="3" t="s">
        <v>377</v>
      </c>
      <c r="B40" s="2" t="s">
        <v>378</v>
      </c>
      <c r="C40" s="13" t="s">
        <v>1376</v>
      </c>
      <c r="D40" s="14" t="s">
        <v>1385</v>
      </c>
      <c r="E40" s="13"/>
      <c r="F40" s="13"/>
      <c r="G40" s="14" t="s">
        <v>1385</v>
      </c>
      <c r="H40" s="13"/>
      <c r="I40" s="13"/>
      <c r="J40" s="13" t="s">
        <v>1471</v>
      </c>
      <c r="K40" s="6" t="str">
        <f>HYPERLINK("http://explorer.natureserve.org/servlet/NatureServe?searchSpeciesUid=ELEMENT_GLOBAL.2.145578")</f>
        <v>http://explorer.natureserve.org/servlet/NatureServe?searchSpeciesUid=ELEMENT_GLOBAL.2.145578</v>
      </c>
      <c r="L40" s="25" t="s">
        <v>62</v>
      </c>
      <c r="M40" s="1" t="s">
        <v>914</v>
      </c>
      <c r="N40" s="1" t="s">
        <v>189</v>
      </c>
      <c r="O40" s="1" t="s">
        <v>32</v>
      </c>
      <c r="P40" s="26"/>
      <c r="Q40" t="s">
        <v>105</v>
      </c>
      <c r="R40" s="1" t="s">
        <v>185</v>
      </c>
      <c r="S40" s="1" t="s">
        <v>200</v>
      </c>
      <c r="T40" s="1" t="s">
        <v>375</v>
      </c>
      <c r="U40" s="1" t="s">
        <v>376</v>
      </c>
    </row>
    <row r="41" spans="1:21" ht="26.25" x14ac:dyDescent="0.25">
      <c r="A41" s="3" t="s">
        <v>1309</v>
      </c>
      <c r="B41" s="2" t="s">
        <v>26</v>
      </c>
      <c r="C41" s="13"/>
      <c r="D41" s="14"/>
      <c r="E41" s="13" t="s">
        <v>1393</v>
      </c>
      <c r="F41" s="13"/>
      <c r="G41" s="13"/>
      <c r="H41" s="13"/>
      <c r="I41" s="13"/>
      <c r="J41" s="13" t="s">
        <v>1477</v>
      </c>
      <c r="K41" s="6" t="s">
        <v>941</v>
      </c>
      <c r="L41" s="25" t="s">
        <v>15</v>
      </c>
      <c r="M41" s="1" t="s">
        <v>922</v>
      </c>
      <c r="N41" s="1" t="s">
        <v>21</v>
      </c>
      <c r="O41" s="1" t="s">
        <v>13</v>
      </c>
      <c r="P41" s="26"/>
      <c r="Q41" s="1" t="s">
        <v>7</v>
      </c>
      <c r="R41" s="1" t="s">
        <v>8</v>
      </c>
      <c r="S41" s="1" t="s">
        <v>23</v>
      </c>
      <c r="T41" s="1" t="s">
        <v>24</v>
      </c>
      <c r="U41" s="1" t="s">
        <v>25</v>
      </c>
    </row>
    <row r="42" spans="1:21" ht="26.25" x14ac:dyDescent="0.25">
      <c r="A42" s="3" t="s">
        <v>943</v>
      </c>
      <c r="B42" s="2" t="s">
        <v>944</v>
      </c>
      <c r="C42" s="13"/>
      <c r="D42" s="14"/>
      <c r="E42" s="13"/>
      <c r="F42" s="13"/>
      <c r="G42" s="13" t="s">
        <v>53</v>
      </c>
      <c r="H42" s="13"/>
      <c r="I42" s="13"/>
      <c r="J42" s="13" t="s">
        <v>1474</v>
      </c>
      <c r="K42" s="6" t="s">
        <v>942</v>
      </c>
      <c r="L42" s="25" t="s">
        <v>62</v>
      </c>
      <c r="M42" s="1" t="s">
        <v>914</v>
      </c>
      <c r="N42" s="1" t="s">
        <v>189</v>
      </c>
      <c r="O42" s="1" t="s">
        <v>32</v>
      </c>
      <c r="P42" s="26"/>
      <c r="Q42" s="1" t="s">
        <v>105</v>
      </c>
      <c r="R42" s="1" t="s">
        <v>185</v>
      </c>
      <c r="S42" s="1" t="s">
        <v>200</v>
      </c>
      <c r="T42" s="1" t="s">
        <v>246</v>
      </c>
      <c r="U42" s="1" t="s">
        <v>247</v>
      </c>
    </row>
    <row r="43" spans="1:21" ht="26.25" x14ac:dyDescent="0.25">
      <c r="A43" s="7" t="s">
        <v>946</v>
      </c>
      <c r="B43" s="8" t="s">
        <v>947</v>
      </c>
      <c r="C43" s="13" t="s">
        <v>1396</v>
      </c>
      <c r="D43" s="14"/>
      <c r="E43" s="13" t="s">
        <v>1396</v>
      </c>
      <c r="F43" s="13" t="s">
        <v>1396</v>
      </c>
      <c r="G43" s="13"/>
      <c r="H43" s="13" t="s">
        <v>1396</v>
      </c>
      <c r="I43" s="13" t="s">
        <v>1396</v>
      </c>
      <c r="J43" s="13" t="s">
        <v>1477</v>
      </c>
      <c r="K43" s="6" t="s">
        <v>945</v>
      </c>
      <c r="L43" s="25" t="s">
        <v>62</v>
      </c>
      <c r="M43" s="1" t="s">
        <v>914</v>
      </c>
      <c r="N43" s="1" t="s">
        <v>189</v>
      </c>
      <c r="O43" s="1" t="s">
        <v>32</v>
      </c>
      <c r="P43" s="26" t="s">
        <v>16</v>
      </c>
      <c r="Q43" s="1" t="s">
        <v>105</v>
      </c>
      <c r="R43" s="1" t="s">
        <v>185</v>
      </c>
      <c r="S43" s="1" t="s">
        <v>200</v>
      </c>
      <c r="T43" s="1" t="s">
        <v>523</v>
      </c>
      <c r="U43" s="1" t="s">
        <v>524</v>
      </c>
    </row>
    <row r="44" spans="1:21" ht="26.25" x14ac:dyDescent="0.25">
      <c r="A44" s="3" t="s">
        <v>858</v>
      </c>
      <c r="B44" s="2" t="s">
        <v>859</v>
      </c>
      <c r="C44" s="13" t="s">
        <v>1397</v>
      </c>
      <c r="D44" s="14"/>
      <c r="E44" s="13" t="s">
        <v>1398</v>
      </c>
      <c r="F44" s="13"/>
      <c r="G44" s="13"/>
      <c r="H44" s="13"/>
      <c r="I44" s="13"/>
      <c r="J44" s="13" t="s">
        <v>1474</v>
      </c>
      <c r="K44" s="6" t="s">
        <v>948</v>
      </c>
      <c r="L44" s="25" t="s">
        <v>62</v>
      </c>
      <c r="M44" s="1" t="s">
        <v>914</v>
      </c>
      <c r="N44" s="1" t="s">
        <v>189</v>
      </c>
      <c r="O44" s="1" t="s">
        <v>32</v>
      </c>
      <c r="P44" s="26"/>
      <c r="Q44" s="1" t="s">
        <v>105</v>
      </c>
      <c r="R44" s="1" t="s">
        <v>185</v>
      </c>
      <c r="S44" s="1" t="s">
        <v>200</v>
      </c>
      <c r="T44" s="1" t="s">
        <v>856</v>
      </c>
      <c r="U44" s="1" t="s">
        <v>857</v>
      </c>
    </row>
    <row r="45" spans="1:21" ht="26.25" x14ac:dyDescent="0.25">
      <c r="A45" s="3" t="s">
        <v>756</v>
      </c>
      <c r="B45" s="2" t="s">
        <v>757</v>
      </c>
      <c r="C45" s="13" t="s">
        <v>151</v>
      </c>
      <c r="D45" s="14"/>
      <c r="E45" s="13" t="s">
        <v>1400</v>
      </c>
      <c r="F45" s="13" t="s">
        <v>1399</v>
      </c>
      <c r="G45" s="13"/>
      <c r="H45" s="13"/>
      <c r="I45" s="13"/>
      <c r="J45" s="13" t="s">
        <v>1474</v>
      </c>
      <c r="K45" s="6" t="s">
        <v>949</v>
      </c>
      <c r="L45" s="25" t="s">
        <v>62</v>
      </c>
      <c r="M45" s="1" t="s">
        <v>922</v>
      </c>
      <c r="N45" s="1" t="s">
        <v>12</v>
      </c>
      <c r="O45" s="1" t="s">
        <v>32</v>
      </c>
      <c r="P45" s="26"/>
      <c r="Q45" s="1" t="s">
        <v>7</v>
      </c>
      <c r="R45" s="1" t="s">
        <v>8</v>
      </c>
      <c r="S45" s="1" t="s">
        <v>9</v>
      </c>
      <c r="T45" s="1" t="s">
        <v>141</v>
      </c>
      <c r="U45" s="1" t="s">
        <v>460</v>
      </c>
    </row>
    <row r="46" spans="1:21" ht="26.25" x14ac:dyDescent="0.25">
      <c r="A46" s="3" t="s">
        <v>951</v>
      </c>
      <c r="B46" s="2" t="s">
        <v>952</v>
      </c>
      <c r="C46" s="13"/>
      <c r="D46" s="14"/>
      <c r="E46" s="13"/>
      <c r="F46" s="13"/>
      <c r="G46" s="13" t="s">
        <v>1391</v>
      </c>
      <c r="H46" s="13"/>
      <c r="I46" s="13"/>
      <c r="J46" s="13" t="s">
        <v>1474</v>
      </c>
      <c r="K46" s="6" t="s">
        <v>950</v>
      </c>
      <c r="L46" s="25" t="s">
        <v>192</v>
      </c>
      <c r="M46" s="1" t="s">
        <v>914</v>
      </c>
      <c r="N46" s="1" t="s">
        <v>189</v>
      </c>
      <c r="O46" s="1" t="s">
        <v>32</v>
      </c>
      <c r="P46" s="26"/>
      <c r="Q46" s="1" t="s">
        <v>105</v>
      </c>
      <c r="R46" s="1" t="s">
        <v>185</v>
      </c>
      <c r="S46" s="1" t="s">
        <v>200</v>
      </c>
      <c r="T46" s="1" t="s">
        <v>246</v>
      </c>
      <c r="U46" s="1" t="s">
        <v>247</v>
      </c>
    </row>
    <row r="47" spans="1:21" ht="26.25" x14ac:dyDescent="0.25">
      <c r="A47" s="7" t="s">
        <v>953</v>
      </c>
      <c r="B47" s="8" t="s">
        <v>954</v>
      </c>
      <c r="C47" s="13" t="s">
        <v>1401</v>
      </c>
      <c r="D47" s="13" t="s">
        <v>1401</v>
      </c>
      <c r="E47" s="13" t="s">
        <v>1401</v>
      </c>
      <c r="F47" s="13" t="s">
        <v>1401</v>
      </c>
      <c r="G47" s="13" t="s">
        <v>1401</v>
      </c>
      <c r="H47" s="13" t="s">
        <v>1401</v>
      </c>
      <c r="I47" s="13"/>
      <c r="J47" s="13" t="s">
        <v>1471</v>
      </c>
      <c r="K47" s="6" t="str">
        <f>HYPERLINK("http://explorer.natureserve.org/servlet/NatureServe?searchSpeciesUid=ELEMENT_GLOBAL.2.128943")</f>
        <v>http://explorer.natureserve.org/servlet/NatureServe?searchSpeciesUid=ELEMENT_GLOBAL.2.128943</v>
      </c>
      <c r="L47" s="25" t="s">
        <v>62</v>
      </c>
      <c r="M47" s="1" t="s">
        <v>914</v>
      </c>
      <c r="N47" s="1" t="s">
        <v>257</v>
      </c>
      <c r="O47" s="1" t="s">
        <v>32</v>
      </c>
      <c r="P47" s="26" t="s">
        <v>54</v>
      </c>
      <c r="Q47" s="1" t="s">
        <v>105</v>
      </c>
      <c r="R47" s="1" t="s">
        <v>185</v>
      </c>
      <c r="S47" s="1" t="s">
        <v>186</v>
      </c>
      <c r="T47" s="1" t="s">
        <v>255</v>
      </c>
      <c r="U47" s="1" t="s">
        <v>416</v>
      </c>
    </row>
    <row r="48" spans="1:21" ht="26.25" x14ac:dyDescent="0.25">
      <c r="A48" s="3" t="s">
        <v>301</v>
      </c>
      <c r="B48" s="2" t="s">
        <v>302</v>
      </c>
      <c r="C48" s="13"/>
      <c r="D48" s="14"/>
      <c r="E48" s="13"/>
      <c r="F48" s="13" t="s">
        <v>1402</v>
      </c>
      <c r="G48" s="13"/>
      <c r="H48" s="13"/>
      <c r="I48" s="13"/>
      <c r="J48" s="13" t="s">
        <v>1471</v>
      </c>
      <c r="K48" s="6" t="s">
        <v>955</v>
      </c>
      <c r="L48" s="25" t="s">
        <v>35</v>
      </c>
      <c r="M48" s="1" t="s">
        <v>922</v>
      </c>
      <c r="N48" s="1" t="s">
        <v>21</v>
      </c>
      <c r="O48" s="1" t="s">
        <v>32</v>
      </c>
      <c r="P48" s="26"/>
      <c r="Q48" s="1" t="s">
        <v>7</v>
      </c>
      <c r="R48" s="1" t="s">
        <v>8</v>
      </c>
      <c r="S48" s="1" t="s">
        <v>298</v>
      </c>
      <c r="T48" s="1" t="s">
        <v>299</v>
      </c>
      <c r="U48" s="1" t="s">
        <v>300</v>
      </c>
    </row>
    <row r="49" spans="1:21" ht="26.25" x14ac:dyDescent="0.25">
      <c r="A49" s="7" t="s">
        <v>958</v>
      </c>
      <c r="B49" s="8" t="s">
        <v>959</v>
      </c>
      <c r="C49" s="13"/>
      <c r="D49" s="14"/>
      <c r="E49" s="13"/>
      <c r="F49" s="13" t="s">
        <v>1374</v>
      </c>
      <c r="G49" s="13"/>
      <c r="H49" s="13"/>
      <c r="I49" s="13"/>
      <c r="J49" s="13" t="s">
        <v>1477</v>
      </c>
      <c r="K49" s="6" t="s">
        <v>956</v>
      </c>
      <c r="L49" s="25" t="s">
        <v>52</v>
      </c>
      <c r="M49" s="1" t="s">
        <v>914</v>
      </c>
      <c r="N49" s="1" t="s">
        <v>252</v>
      </c>
      <c r="O49" s="1" t="s">
        <v>32</v>
      </c>
      <c r="P49" s="26" t="s">
        <v>16</v>
      </c>
      <c r="Q49" s="1" t="s">
        <v>105</v>
      </c>
      <c r="R49" s="1" t="s">
        <v>185</v>
      </c>
      <c r="S49" s="1" t="s">
        <v>200</v>
      </c>
      <c r="T49" s="1" t="s">
        <v>375</v>
      </c>
      <c r="U49" s="1" t="s">
        <v>957</v>
      </c>
    </row>
    <row r="50" spans="1:21" ht="26.25" x14ac:dyDescent="0.25">
      <c r="A50" s="3" t="s">
        <v>119</v>
      </c>
      <c r="B50" s="2" t="s">
        <v>120</v>
      </c>
      <c r="C50" s="13" t="s">
        <v>1403</v>
      </c>
      <c r="D50" s="14"/>
      <c r="E50" s="13"/>
      <c r="F50" s="13"/>
      <c r="G50" s="13"/>
      <c r="H50" s="13"/>
      <c r="I50" s="13"/>
      <c r="J50" s="13" t="s">
        <v>1477</v>
      </c>
      <c r="K50" s="6" t="s">
        <v>960</v>
      </c>
      <c r="L50" s="25" t="s">
        <v>52</v>
      </c>
      <c r="M50" s="1" t="s">
        <v>922</v>
      </c>
      <c r="N50" s="1" t="s">
        <v>21</v>
      </c>
      <c r="O50" s="1" t="s">
        <v>13</v>
      </c>
      <c r="P50" s="26"/>
      <c r="Q50" s="1" t="s">
        <v>7</v>
      </c>
      <c r="R50" s="1" t="s">
        <v>8</v>
      </c>
      <c r="S50" s="1" t="s">
        <v>71</v>
      </c>
      <c r="T50" s="1" t="s">
        <v>117</v>
      </c>
      <c r="U50" s="1" t="s">
        <v>118</v>
      </c>
    </row>
    <row r="51" spans="1:21" ht="51.75" x14ac:dyDescent="0.25">
      <c r="A51" s="3" t="s">
        <v>625</v>
      </c>
      <c r="B51" s="2" t="s">
        <v>626</v>
      </c>
      <c r="C51" s="13" t="s">
        <v>1397</v>
      </c>
      <c r="D51" s="14" t="s">
        <v>1404</v>
      </c>
      <c r="E51" s="13" t="s">
        <v>1393</v>
      </c>
      <c r="F51" s="14" t="s">
        <v>1404</v>
      </c>
      <c r="G51" s="14" t="s">
        <v>1404</v>
      </c>
      <c r="H51" s="14" t="s">
        <v>1404</v>
      </c>
      <c r="I51" s="14" t="s">
        <v>1404</v>
      </c>
      <c r="J51" s="13" t="s">
        <v>1476</v>
      </c>
      <c r="K51" s="6" t="str">
        <f>HYPERLINK("http://explorer.natureserve.org/servlet/NatureServe?searchSpeciesUid=ELEMENT_GLOBAL.2.107560")</f>
        <v>http://explorer.natureserve.org/servlet/NatureServe?searchSpeciesUid=ELEMENT_GLOBAL.2.107560</v>
      </c>
      <c r="L51" s="25" t="s">
        <v>82</v>
      </c>
      <c r="M51" s="1" t="s">
        <v>922</v>
      </c>
      <c r="N51" s="1" t="s">
        <v>12</v>
      </c>
      <c r="O51" s="1" t="s">
        <v>32</v>
      </c>
      <c r="P51" s="26"/>
      <c r="Q51" s="1" t="s">
        <v>7</v>
      </c>
      <c r="R51" s="1" t="s">
        <v>8</v>
      </c>
      <c r="S51" s="1" t="s">
        <v>9</v>
      </c>
      <c r="T51" s="1" t="s">
        <v>141</v>
      </c>
      <c r="U51" s="1" t="s">
        <v>624</v>
      </c>
    </row>
    <row r="52" spans="1:21" ht="51.75" x14ac:dyDescent="0.25">
      <c r="A52" s="3" t="s">
        <v>437</v>
      </c>
      <c r="B52" s="2" t="s">
        <v>438</v>
      </c>
      <c r="C52" s="13" t="s">
        <v>1403</v>
      </c>
      <c r="D52" s="14" t="s">
        <v>1366</v>
      </c>
      <c r="E52" s="13"/>
      <c r="F52" s="13"/>
      <c r="G52" s="13"/>
      <c r="H52" s="13"/>
      <c r="I52" s="13"/>
      <c r="J52" s="15" t="s">
        <v>1481</v>
      </c>
      <c r="K52" s="6" t="str">
        <f>HYPERLINK("http://explorer.natureserve.org/servlet/NatureServe?searchSpeciesUid=ELEMENT_GLOBAL.2.116737")</f>
        <v>http://explorer.natureserve.org/servlet/NatureServe?searchSpeciesUid=ELEMENT_GLOBAL.2.116737</v>
      </c>
      <c r="L52" s="25" t="s">
        <v>52</v>
      </c>
      <c r="M52" s="1" t="s">
        <v>922</v>
      </c>
      <c r="N52" s="1" t="s">
        <v>12</v>
      </c>
      <c r="O52" s="1" t="s">
        <v>32</v>
      </c>
      <c r="P52" s="26"/>
      <c r="Q52" s="1" t="s">
        <v>7</v>
      </c>
      <c r="R52" s="1" t="s">
        <v>8</v>
      </c>
      <c r="S52" s="1" t="s">
        <v>9</v>
      </c>
      <c r="T52" s="1" t="s">
        <v>141</v>
      </c>
      <c r="U52" s="1" t="s">
        <v>242</v>
      </c>
    </row>
    <row r="53" spans="1:21" ht="26.25" x14ac:dyDescent="0.25">
      <c r="A53" s="3" t="s">
        <v>805</v>
      </c>
      <c r="B53" s="2" t="s">
        <v>806</v>
      </c>
      <c r="C53" s="13" t="s">
        <v>1405</v>
      </c>
      <c r="D53" s="13" t="s">
        <v>1405</v>
      </c>
      <c r="E53" s="13" t="s">
        <v>1372</v>
      </c>
      <c r="F53" s="13" t="s">
        <v>1405</v>
      </c>
      <c r="G53" s="13" t="s">
        <v>1405</v>
      </c>
      <c r="H53" s="13" t="s">
        <v>1405</v>
      </c>
      <c r="I53" s="13"/>
      <c r="J53" s="13" t="s">
        <v>1474</v>
      </c>
      <c r="K53" s="6" t="str">
        <f>HYPERLINK("http://explorer.natureserve.org/servlet/NatureServe?searchSpeciesUid=ELEMENT_GLOBAL.2.109436")</f>
        <v>http://explorer.natureserve.org/servlet/NatureServe?searchSpeciesUid=ELEMENT_GLOBAL.2.109436</v>
      </c>
      <c r="L53" s="25" t="s">
        <v>89</v>
      </c>
      <c r="M53" s="1" t="s">
        <v>922</v>
      </c>
      <c r="N53" s="1" t="s">
        <v>12</v>
      </c>
      <c r="O53" s="1" t="s">
        <v>32</v>
      </c>
      <c r="P53" s="26"/>
      <c r="Q53" s="1" t="s">
        <v>7</v>
      </c>
      <c r="R53" s="1" t="s">
        <v>8</v>
      </c>
      <c r="S53" s="1" t="s">
        <v>9</v>
      </c>
      <c r="T53" s="1" t="s">
        <v>207</v>
      </c>
      <c r="U53" s="1" t="s">
        <v>804</v>
      </c>
    </row>
    <row r="54" spans="1:21" ht="26.25" x14ac:dyDescent="0.25">
      <c r="A54" s="3" t="s">
        <v>43</v>
      </c>
      <c r="B54" s="2" t="s">
        <v>44</v>
      </c>
      <c r="C54" s="13"/>
      <c r="D54" s="14"/>
      <c r="E54" s="13" t="s">
        <v>1393</v>
      </c>
      <c r="F54" s="13"/>
      <c r="G54" s="13"/>
      <c r="H54" s="13"/>
      <c r="I54" s="13"/>
      <c r="J54" s="13" t="s">
        <v>1477</v>
      </c>
      <c r="K54" s="1" t="s">
        <v>961</v>
      </c>
      <c r="L54" s="25" t="s">
        <v>15</v>
      </c>
      <c r="M54" s="1" t="s">
        <v>922</v>
      </c>
      <c r="N54" s="1" t="s">
        <v>21</v>
      </c>
      <c r="O54" s="1" t="s">
        <v>32</v>
      </c>
      <c r="P54" s="26"/>
      <c r="Q54" s="1" t="s">
        <v>7</v>
      </c>
      <c r="R54" s="1" t="s">
        <v>17</v>
      </c>
      <c r="S54" s="1" t="s">
        <v>18</v>
      </c>
      <c r="T54" s="1" t="s">
        <v>19</v>
      </c>
      <c r="U54" s="1" t="s">
        <v>42</v>
      </c>
    </row>
    <row r="55" spans="1:21" ht="26.25" x14ac:dyDescent="0.25">
      <c r="A55" s="3" t="s">
        <v>128</v>
      </c>
      <c r="B55" s="2" t="s">
        <v>129</v>
      </c>
      <c r="C55" s="13"/>
      <c r="D55" s="14"/>
      <c r="E55" s="13" t="s">
        <v>1372</v>
      </c>
      <c r="F55" s="13" t="s">
        <v>1405</v>
      </c>
      <c r="G55" s="13"/>
      <c r="H55" s="13"/>
      <c r="I55" s="13"/>
      <c r="J55" s="13" t="s">
        <v>1474</v>
      </c>
      <c r="K55" s="6" t="s">
        <v>962</v>
      </c>
      <c r="L55" s="25" t="s">
        <v>89</v>
      </c>
      <c r="M55" s="1" t="s">
        <v>922</v>
      </c>
      <c r="N55" s="1" t="s">
        <v>21</v>
      </c>
      <c r="O55" s="1" t="s">
        <v>68</v>
      </c>
      <c r="P55" s="26"/>
      <c r="Q55" s="1" t="s">
        <v>7</v>
      </c>
      <c r="R55" s="1" t="s">
        <v>8</v>
      </c>
      <c r="S55" s="1" t="s">
        <v>71</v>
      </c>
      <c r="T55" s="1" t="s">
        <v>72</v>
      </c>
      <c r="U55" s="1" t="s">
        <v>73</v>
      </c>
    </row>
    <row r="56" spans="1:21" ht="26.25" x14ac:dyDescent="0.25">
      <c r="A56" s="3" t="s">
        <v>332</v>
      </c>
      <c r="B56" s="2" t="s">
        <v>333</v>
      </c>
      <c r="C56" s="13" t="s">
        <v>1405</v>
      </c>
      <c r="D56" s="13" t="s">
        <v>1405</v>
      </c>
      <c r="E56" s="13" t="s">
        <v>1372</v>
      </c>
      <c r="F56" s="13" t="s">
        <v>1405</v>
      </c>
      <c r="G56" s="13" t="s">
        <v>1405</v>
      </c>
      <c r="H56" s="13" t="s">
        <v>1405</v>
      </c>
      <c r="I56" s="13" t="s">
        <v>1405</v>
      </c>
      <c r="J56" s="13" t="s">
        <v>1474</v>
      </c>
      <c r="K56" s="6" t="str">
        <f>HYPERLINK("http://explorer.natureserve.org/servlet/NatureServe?searchSpeciesUid=ELEMENT_GLOBAL.2.872128")</f>
        <v>http://explorer.natureserve.org/servlet/NatureServe?searchSpeciesUid=ELEMENT_GLOBAL.2.872128</v>
      </c>
      <c r="L56" s="25" t="s">
        <v>62</v>
      </c>
      <c r="M56" s="1" t="s">
        <v>922</v>
      </c>
      <c r="N56" s="1" t="s">
        <v>21</v>
      </c>
      <c r="O56" s="1" t="s">
        <v>68</v>
      </c>
      <c r="P56" s="26"/>
      <c r="Q56" s="1" t="s">
        <v>7</v>
      </c>
      <c r="R56" s="1" t="s">
        <v>8</v>
      </c>
      <c r="S56" s="1" t="s">
        <v>71</v>
      </c>
      <c r="T56" s="1" t="s">
        <v>72</v>
      </c>
      <c r="U56" s="1" t="s">
        <v>73</v>
      </c>
    </row>
    <row r="57" spans="1:21" ht="26.25" x14ac:dyDescent="0.25">
      <c r="A57" s="3" t="s">
        <v>716</v>
      </c>
      <c r="B57" s="2" t="s">
        <v>717</v>
      </c>
      <c r="C57" s="13" t="s">
        <v>623</v>
      </c>
      <c r="D57" s="14"/>
      <c r="E57" s="13" t="s">
        <v>1393</v>
      </c>
      <c r="F57" s="13" t="s">
        <v>1395</v>
      </c>
      <c r="G57" s="13"/>
      <c r="H57" s="13"/>
      <c r="I57" s="13"/>
      <c r="J57" s="13" t="s">
        <v>1477</v>
      </c>
      <c r="K57" s="6" t="s">
        <v>963</v>
      </c>
      <c r="L57" s="25" t="s">
        <v>62</v>
      </c>
      <c r="M57" s="1" t="s">
        <v>922</v>
      </c>
      <c r="N57" s="1" t="s">
        <v>21</v>
      </c>
      <c r="O57" s="1" t="s">
        <v>68</v>
      </c>
      <c r="P57" s="26"/>
      <c r="Q57" s="1" t="s">
        <v>7</v>
      </c>
      <c r="R57" s="1" t="s">
        <v>8</v>
      </c>
      <c r="S57" s="1" t="s">
        <v>71</v>
      </c>
      <c r="T57" s="1" t="s">
        <v>72</v>
      </c>
      <c r="U57" s="1" t="s">
        <v>73</v>
      </c>
    </row>
    <row r="58" spans="1:21" ht="26.25" x14ac:dyDescent="0.25">
      <c r="A58" s="3" t="s">
        <v>610</v>
      </c>
      <c r="B58" s="2" t="s">
        <v>611</v>
      </c>
      <c r="C58" s="13"/>
      <c r="D58" s="14"/>
      <c r="E58" s="13" t="s">
        <v>1393</v>
      </c>
      <c r="F58" s="13" t="s">
        <v>1395</v>
      </c>
      <c r="G58" s="13"/>
      <c r="H58" s="13"/>
      <c r="I58" s="13"/>
      <c r="J58" s="13" t="s">
        <v>1477</v>
      </c>
      <c r="K58" s="6" t="s">
        <v>964</v>
      </c>
      <c r="L58" s="25" t="s">
        <v>62</v>
      </c>
      <c r="M58" s="1" t="s">
        <v>922</v>
      </c>
      <c r="N58" s="1" t="s">
        <v>21</v>
      </c>
      <c r="O58" s="1" t="s">
        <v>68</v>
      </c>
      <c r="P58" s="26"/>
      <c r="Q58" s="1" t="s">
        <v>7</v>
      </c>
      <c r="R58" s="1" t="s">
        <v>8</v>
      </c>
      <c r="S58" s="1" t="s">
        <v>71</v>
      </c>
      <c r="T58" s="1" t="s">
        <v>72</v>
      </c>
      <c r="U58" s="1" t="s">
        <v>73</v>
      </c>
    </row>
    <row r="59" spans="1:21" ht="26.25" x14ac:dyDescent="0.25">
      <c r="A59" s="2" t="s">
        <v>1310</v>
      </c>
      <c r="B59" s="2" t="s">
        <v>862</v>
      </c>
      <c r="C59" s="13"/>
      <c r="D59" s="14"/>
      <c r="E59" s="13" t="s">
        <v>1393</v>
      </c>
      <c r="F59" s="13"/>
      <c r="G59" s="13"/>
      <c r="H59" s="13"/>
      <c r="I59" s="13"/>
      <c r="J59" s="13" t="s">
        <v>1477</v>
      </c>
      <c r="K59" s="6" t="s">
        <v>965</v>
      </c>
      <c r="L59" s="25" t="s">
        <v>62</v>
      </c>
      <c r="M59" s="1" t="s">
        <v>922</v>
      </c>
      <c r="N59" s="1" t="s">
        <v>21</v>
      </c>
      <c r="O59" s="1" t="s">
        <v>68</v>
      </c>
      <c r="P59" s="26"/>
      <c r="Q59" s="1" t="s">
        <v>7</v>
      </c>
      <c r="R59" s="1" t="s">
        <v>8</v>
      </c>
      <c r="S59" s="1" t="s">
        <v>71</v>
      </c>
      <c r="T59" s="1" t="s">
        <v>72</v>
      </c>
      <c r="U59" s="1" t="s">
        <v>73</v>
      </c>
    </row>
    <row r="60" spans="1:21" ht="26.25" x14ac:dyDescent="0.25">
      <c r="A60" s="2" t="s">
        <v>1311</v>
      </c>
      <c r="B60" s="2" t="s">
        <v>862</v>
      </c>
      <c r="C60" s="13"/>
      <c r="D60" s="14"/>
      <c r="E60" s="13" t="s">
        <v>1372</v>
      </c>
      <c r="F60" s="13"/>
      <c r="G60" s="13"/>
      <c r="H60" s="13"/>
      <c r="I60" s="13"/>
      <c r="J60" s="13" t="s">
        <v>1474</v>
      </c>
      <c r="K60" s="6" t="s">
        <v>965</v>
      </c>
      <c r="L60" s="25" t="s">
        <v>62</v>
      </c>
      <c r="M60" s="1" t="s">
        <v>922</v>
      </c>
      <c r="N60" s="1" t="s">
        <v>21</v>
      </c>
      <c r="O60" s="1" t="s">
        <v>68</v>
      </c>
      <c r="P60" s="26"/>
      <c r="Q60" s="1" t="s">
        <v>7</v>
      </c>
      <c r="R60" s="1" t="s">
        <v>8</v>
      </c>
      <c r="S60" s="1" t="s">
        <v>71</v>
      </c>
      <c r="T60" s="1" t="s">
        <v>72</v>
      </c>
      <c r="U60" s="1" t="s">
        <v>73</v>
      </c>
    </row>
    <row r="61" spans="1:21" ht="26.25" x14ac:dyDescent="0.25">
      <c r="A61" s="2" t="s">
        <v>1312</v>
      </c>
      <c r="B61" s="2" t="s">
        <v>862</v>
      </c>
      <c r="C61" s="13"/>
      <c r="D61" s="14"/>
      <c r="E61" s="13" t="s">
        <v>1393</v>
      </c>
      <c r="F61" s="13"/>
      <c r="G61" s="13"/>
      <c r="H61" s="13"/>
      <c r="I61" s="13"/>
      <c r="J61" s="13" t="s">
        <v>1477</v>
      </c>
      <c r="K61" s="6" t="s">
        <v>965</v>
      </c>
      <c r="L61" s="25" t="s">
        <v>62</v>
      </c>
      <c r="M61" s="1" t="s">
        <v>922</v>
      </c>
      <c r="N61" s="1" t="s">
        <v>21</v>
      </c>
      <c r="O61" s="1" t="s">
        <v>68</v>
      </c>
      <c r="P61" s="26"/>
      <c r="Q61" s="1" t="s">
        <v>7</v>
      </c>
      <c r="R61" s="1" t="s">
        <v>8</v>
      </c>
      <c r="S61" s="1" t="s">
        <v>71</v>
      </c>
      <c r="T61" s="1" t="s">
        <v>72</v>
      </c>
      <c r="U61" s="1" t="s">
        <v>73</v>
      </c>
    </row>
    <row r="62" spans="1:21" ht="26.25" x14ac:dyDescent="0.25">
      <c r="A62" s="2" t="s">
        <v>1313</v>
      </c>
      <c r="B62" s="2" t="s">
        <v>862</v>
      </c>
      <c r="C62" s="13"/>
      <c r="D62" s="14"/>
      <c r="E62" s="13" t="s">
        <v>1372</v>
      </c>
      <c r="F62" s="13"/>
      <c r="G62" s="13"/>
      <c r="H62" s="13"/>
      <c r="I62" s="13"/>
      <c r="J62" s="13" t="s">
        <v>1474</v>
      </c>
      <c r="K62" s="6" t="s">
        <v>965</v>
      </c>
      <c r="L62" s="25" t="s">
        <v>62</v>
      </c>
      <c r="M62" s="1" t="s">
        <v>922</v>
      </c>
      <c r="N62" s="1" t="s">
        <v>21</v>
      </c>
      <c r="O62" s="1" t="s">
        <v>68</v>
      </c>
      <c r="P62" s="26"/>
      <c r="Q62" s="1" t="s">
        <v>7</v>
      </c>
      <c r="R62" s="1" t="s">
        <v>8</v>
      </c>
      <c r="S62" s="1" t="s">
        <v>71</v>
      </c>
      <c r="T62" s="1" t="s">
        <v>72</v>
      </c>
      <c r="U62" s="1" t="s">
        <v>73</v>
      </c>
    </row>
    <row r="63" spans="1:21" ht="26.25" x14ac:dyDescent="0.25">
      <c r="A63" s="3" t="s">
        <v>412</v>
      </c>
      <c r="B63" s="2" t="s">
        <v>413</v>
      </c>
      <c r="C63" s="13"/>
      <c r="D63" s="14"/>
      <c r="E63" s="13" t="s">
        <v>1372</v>
      </c>
      <c r="F63" s="13"/>
      <c r="G63" s="13"/>
      <c r="H63" s="13"/>
      <c r="I63" s="13"/>
      <c r="J63" s="13" t="s">
        <v>1474</v>
      </c>
      <c r="K63" s="6" t="s">
        <v>966</v>
      </c>
      <c r="L63" s="25" t="s">
        <v>116</v>
      </c>
      <c r="M63" s="1" t="s">
        <v>922</v>
      </c>
      <c r="N63" s="1" t="s">
        <v>21</v>
      </c>
      <c r="O63" s="1" t="s">
        <v>68</v>
      </c>
      <c r="P63" s="26"/>
      <c r="Q63" s="1" t="s">
        <v>7</v>
      </c>
      <c r="R63" s="1" t="s">
        <v>8</v>
      </c>
      <c r="S63" s="1" t="s">
        <v>71</v>
      </c>
      <c r="T63" s="1" t="s">
        <v>72</v>
      </c>
      <c r="U63" s="1" t="s">
        <v>73</v>
      </c>
    </row>
    <row r="64" spans="1:21" ht="26.25" x14ac:dyDescent="0.25">
      <c r="A64" s="3" t="s">
        <v>152</v>
      </c>
      <c r="B64" s="2" t="s">
        <v>153</v>
      </c>
      <c r="C64" s="13"/>
      <c r="D64" s="14"/>
      <c r="E64" s="13" t="s">
        <v>1372</v>
      </c>
      <c r="F64" s="13" t="s">
        <v>1405</v>
      </c>
      <c r="G64" s="13"/>
      <c r="H64" s="13" t="s">
        <v>1405</v>
      </c>
      <c r="I64" s="13"/>
      <c r="J64" s="13" t="s">
        <v>1474</v>
      </c>
      <c r="K64" s="6" t="s">
        <v>967</v>
      </c>
      <c r="L64" s="25" t="s">
        <v>62</v>
      </c>
      <c r="M64" s="1" t="s">
        <v>922</v>
      </c>
      <c r="N64" s="1" t="s">
        <v>21</v>
      </c>
      <c r="O64" s="1" t="s">
        <v>68</v>
      </c>
      <c r="P64" s="26"/>
      <c r="Q64" s="1" t="s">
        <v>7</v>
      </c>
      <c r="R64" s="1" t="s">
        <v>8</v>
      </c>
      <c r="S64" s="1" t="s">
        <v>71</v>
      </c>
      <c r="T64" s="1" t="s">
        <v>72</v>
      </c>
      <c r="U64" s="1" t="s">
        <v>73</v>
      </c>
    </row>
    <row r="65" spans="1:21" ht="26.25" x14ac:dyDescent="0.25">
      <c r="A65" s="2" t="s">
        <v>1314</v>
      </c>
      <c r="B65" s="2" t="s">
        <v>231</v>
      </c>
      <c r="C65" s="13"/>
      <c r="D65" s="14"/>
      <c r="E65" s="13" t="s">
        <v>1372</v>
      </c>
      <c r="F65" s="13"/>
      <c r="G65" s="13"/>
      <c r="H65" s="13"/>
      <c r="I65" s="13"/>
      <c r="J65" s="13" t="s">
        <v>1474</v>
      </c>
      <c r="K65" s="6" t="s">
        <v>968</v>
      </c>
      <c r="L65" s="25" t="s">
        <v>232</v>
      </c>
      <c r="M65" s="1" t="s">
        <v>922</v>
      </c>
      <c r="N65" s="1" t="s">
        <v>21</v>
      </c>
      <c r="O65" s="1" t="s">
        <v>68</v>
      </c>
      <c r="P65" s="26"/>
      <c r="Q65" s="1" t="s">
        <v>7</v>
      </c>
      <c r="R65" s="1" t="s">
        <v>8</v>
      </c>
      <c r="S65" s="1" t="s">
        <v>71</v>
      </c>
      <c r="T65" s="1" t="s">
        <v>72</v>
      </c>
      <c r="U65" s="1" t="s">
        <v>73</v>
      </c>
    </row>
    <row r="66" spans="1:21" ht="26.25" x14ac:dyDescent="0.25">
      <c r="A66" s="2" t="s">
        <v>1315</v>
      </c>
      <c r="B66" s="2" t="s">
        <v>231</v>
      </c>
      <c r="C66" s="13"/>
      <c r="D66" s="14"/>
      <c r="E66" s="13" t="s">
        <v>1372</v>
      </c>
      <c r="F66" s="13"/>
      <c r="G66" s="13"/>
      <c r="H66" s="13"/>
      <c r="I66" s="13"/>
      <c r="J66" s="13" t="s">
        <v>1474</v>
      </c>
      <c r="K66" s="6" t="s">
        <v>968</v>
      </c>
      <c r="L66" s="25" t="s">
        <v>62</v>
      </c>
      <c r="M66" s="1" t="s">
        <v>922</v>
      </c>
      <c r="N66" s="1" t="s">
        <v>21</v>
      </c>
      <c r="O66" s="1" t="s">
        <v>68</v>
      </c>
      <c r="P66" s="26"/>
      <c r="Q66" s="1" t="s">
        <v>7</v>
      </c>
      <c r="R66" s="1" t="s">
        <v>8</v>
      </c>
      <c r="S66" s="1" t="s">
        <v>71</v>
      </c>
      <c r="T66" s="1" t="s">
        <v>72</v>
      </c>
      <c r="U66" s="1" t="s">
        <v>73</v>
      </c>
    </row>
    <row r="67" spans="1:21" ht="26.25" x14ac:dyDescent="0.25">
      <c r="A67" s="3" t="s">
        <v>476</v>
      </c>
      <c r="B67" s="2" t="s">
        <v>477</v>
      </c>
      <c r="C67" s="13"/>
      <c r="D67" s="14"/>
      <c r="E67" s="13" t="s">
        <v>1393</v>
      </c>
      <c r="F67" s="13"/>
      <c r="G67" s="13"/>
      <c r="H67" s="13"/>
      <c r="I67" s="13"/>
      <c r="J67" s="13" t="s">
        <v>1477</v>
      </c>
      <c r="K67" s="6" t="s">
        <v>969</v>
      </c>
      <c r="L67" s="25" t="s">
        <v>116</v>
      </c>
      <c r="M67" s="1" t="s">
        <v>922</v>
      </c>
      <c r="N67" s="1" t="s">
        <v>21</v>
      </c>
      <c r="O67" s="1" t="s">
        <v>13</v>
      </c>
      <c r="P67" s="26"/>
      <c r="Q67" s="1" t="s">
        <v>7</v>
      </c>
      <c r="R67" s="1" t="s">
        <v>8</v>
      </c>
      <c r="S67" s="1" t="s">
        <v>71</v>
      </c>
      <c r="T67" s="1" t="s">
        <v>72</v>
      </c>
      <c r="U67" s="1" t="s">
        <v>73</v>
      </c>
    </row>
    <row r="68" spans="1:21" ht="26.25" x14ac:dyDescent="0.25">
      <c r="A68" s="3" t="s">
        <v>196</v>
      </c>
      <c r="B68" s="2" t="s">
        <v>197</v>
      </c>
      <c r="C68" s="13" t="s">
        <v>1395</v>
      </c>
      <c r="D68" s="13" t="s">
        <v>1395</v>
      </c>
      <c r="E68" s="13" t="s">
        <v>1393</v>
      </c>
      <c r="F68" s="13" t="s">
        <v>1395</v>
      </c>
      <c r="G68" s="13"/>
      <c r="H68" s="13"/>
      <c r="I68" s="13" t="s">
        <v>1395</v>
      </c>
      <c r="J68" s="13" t="s">
        <v>1477</v>
      </c>
      <c r="K68" s="6" t="str">
        <f>HYPERLINK("http://explorer.natureserve.org/servlet/NatureServe?searchSpeciesUid=ELEMENT_GLOBAL.2.113467")</f>
        <v>http://explorer.natureserve.org/servlet/NatureServe?searchSpeciesUid=ELEMENT_GLOBAL.2.113467</v>
      </c>
      <c r="L68" s="25" t="s">
        <v>62</v>
      </c>
      <c r="M68" s="1" t="s">
        <v>922</v>
      </c>
      <c r="N68" s="1" t="s">
        <v>21</v>
      </c>
      <c r="O68" s="1" t="s">
        <v>68</v>
      </c>
      <c r="P68" s="26"/>
      <c r="Q68" s="1" t="s">
        <v>7</v>
      </c>
      <c r="R68" s="1" t="s">
        <v>8</v>
      </c>
      <c r="S68" s="1" t="s">
        <v>71</v>
      </c>
      <c r="T68" s="1" t="s">
        <v>72</v>
      </c>
      <c r="U68" s="1" t="s">
        <v>73</v>
      </c>
    </row>
    <row r="69" spans="1:21" ht="26.25" x14ac:dyDescent="0.25">
      <c r="A69" s="3" t="s">
        <v>819</v>
      </c>
      <c r="B69" s="2" t="s">
        <v>820</v>
      </c>
      <c r="C69" s="13"/>
      <c r="D69" s="14"/>
      <c r="E69" s="13" t="s">
        <v>1393</v>
      </c>
      <c r="F69" s="13"/>
      <c r="G69" s="13"/>
      <c r="H69" s="13"/>
      <c r="I69" s="13"/>
      <c r="J69" s="13" t="s">
        <v>1477</v>
      </c>
      <c r="K69" s="6" t="s">
        <v>970</v>
      </c>
      <c r="L69" s="25" t="s">
        <v>62</v>
      </c>
      <c r="M69" s="1" t="s">
        <v>922</v>
      </c>
      <c r="N69" s="1" t="s">
        <v>21</v>
      </c>
      <c r="O69" s="1" t="s">
        <v>68</v>
      </c>
      <c r="P69" s="26"/>
      <c r="Q69" s="1" t="s">
        <v>7</v>
      </c>
      <c r="R69" s="1" t="s">
        <v>8</v>
      </c>
      <c r="S69" s="1" t="s">
        <v>71</v>
      </c>
      <c r="T69" s="1" t="s">
        <v>72</v>
      </c>
      <c r="U69" s="1" t="s">
        <v>73</v>
      </c>
    </row>
    <row r="70" spans="1:21" ht="26.25" x14ac:dyDescent="0.25">
      <c r="A70" s="3" t="s">
        <v>482</v>
      </c>
      <c r="B70" s="2" t="s">
        <v>483</v>
      </c>
      <c r="C70" s="13"/>
      <c r="D70" s="14"/>
      <c r="E70" s="13" t="s">
        <v>1372</v>
      </c>
      <c r="F70" s="13"/>
      <c r="G70" s="13"/>
      <c r="H70" s="13"/>
      <c r="I70" s="13"/>
      <c r="J70" s="13" t="s">
        <v>1474</v>
      </c>
      <c r="K70" s="6" t="s">
        <v>971</v>
      </c>
      <c r="L70" s="25" t="s">
        <v>484</v>
      </c>
      <c r="M70" s="1" t="s">
        <v>922</v>
      </c>
      <c r="N70" s="1" t="s">
        <v>21</v>
      </c>
      <c r="O70" s="1" t="s">
        <v>68</v>
      </c>
      <c r="P70" s="26"/>
      <c r="Q70" s="1" t="s">
        <v>7</v>
      </c>
      <c r="R70" s="1" t="s">
        <v>8</v>
      </c>
      <c r="S70" s="1" t="s">
        <v>71</v>
      </c>
      <c r="T70" s="1" t="s">
        <v>72</v>
      </c>
      <c r="U70" s="1" t="s">
        <v>73</v>
      </c>
    </row>
    <row r="71" spans="1:21" ht="26.25" x14ac:dyDescent="0.25">
      <c r="A71" s="3" t="s">
        <v>547</v>
      </c>
      <c r="B71" s="2" t="s">
        <v>548</v>
      </c>
      <c r="C71" s="13" t="s">
        <v>1395</v>
      </c>
      <c r="D71" s="14"/>
      <c r="E71" s="13" t="s">
        <v>1393</v>
      </c>
      <c r="F71" s="13"/>
      <c r="G71" s="13"/>
      <c r="H71" s="13"/>
      <c r="I71" s="13" t="s">
        <v>1395</v>
      </c>
      <c r="J71" s="13" t="s">
        <v>1477</v>
      </c>
      <c r="K71" s="6" t="s">
        <v>972</v>
      </c>
      <c r="L71" s="25" t="s">
        <v>62</v>
      </c>
      <c r="M71" s="1" t="s">
        <v>922</v>
      </c>
      <c r="N71" s="1" t="s">
        <v>21</v>
      </c>
      <c r="O71" s="1" t="s">
        <v>68</v>
      </c>
      <c r="P71" s="26"/>
      <c r="Q71" s="1" t="s">
        <v>7</v>
      </c>
      <c r="R71" s="1" t="s">
        <v>8</v>
      </c>
      <c r="S71" s="1" t="s">
        <v>71</v>
      </c>
      <c r="T71" s="1" t="s">
        <v>72</v>
      </c>
      <c r="U71" s="1" t="s">
        <v>73</v>
      </c>
    </row>
    <row r="72" spans="1:21" ht="26.25" x14ac:dyDescent="0.25">
      <c r="A72" s="3" t="s">
        <v>198</v>
      </c>
      <c r="B72" s="2" t="s">
        <v>199</v>
      </c>
      <c r="C72" s="13"/>
      <c r="D72" s="14"/>
      <c r="E72" s="13" t="s">
        <v>1386</v>
      </c>
      <c r="F72" s="13" t="s">
        <v>1387</v>
      </c>
      <c r="G72" s="13"/>
      <c r="H72" s="13"/>
      <c r="I72" s="13"/>
      <c r="J72" s="13" t="s">
        <v>1471</v>
      </c>
      <c r="K72" s="6" t="s">
        <v>973</v>
      </c>
      <c r="L72" s="25" t="s">
        <v>35</v>
      </c>
      <c r="M72" s="1" t="s">
        <v>922</v>
      </c>
      <c r="N72" s="1" t="s">
        <v>21</v>
      </c>
      <c r="O72" s="1" t="s">
        <v>68</v>
      </c>
      <c r="P72" s="26"/>
      <c r="Q72" s="1" t="s">
        <v>7</v>
      </c>
      <c r="R72" s="1" t="s">
        <v>8</v>
      </c>
      <c r="S72" s="1" t="s">
        <v>71</v>
      </c>
      <c r="T72" s="1" t="s">
        <v>72</v>
      </c>
      <c r="U72" s="1" t="s">
        <v>73</v>
      </c>
    </row>
    <row r="73" spans="1:21" ht="26.25" x14ac:dyDescent="0.25">
      <c r="A73" s="3" t="s">
        <v>974</v>
      </c>
      <c r="B73" s="2" t="s">
        <v>319</v>
      </c>
      <c r="C73" s="13" t="s">
        <v>151</v>
      </c>
      <c r="D73" s="14" t="s">
        <v>1367</v>
      </c>
      <c r="E73" s="13"/>
      <c r="F73" s="13"/>
      <c r="G73" s="13"/>
      <c r="H73" s="13"/>
      <c r="I73" s="13"/>
      <c r="J73" s="13" t="s">
        <v>1474</v>
      </c>
      <c r="K73" s="6" t="str">
        <f>HYPERLINK("http://explorer.natureserve.org/servlet/NatureServe?searchSpeciesUid=ELEMENT_GLOBAL.2.102662")</f>
        <v>http://explorer.natureserve.org/servlet/NatureServe?searchSpeciesUid=ELEMENT_GLOBAL.2.102662</v>
      </c>
      <c r="L73" s="25" t="s">
        <v>62</v>
      </c>
      <c r="M73" s="1" t="s">
        <v>915</v>
      </c>
      <c r="N73" s="1" t="s">
        <v>59</v>
      </c>
      <c r="O73" s="1" t="s">
        <v>32</v>
      </c>
      <c r="P73" s="26"/>
      <c r="Q73" s="1" t="s">
        <v>7</v>
      </c>
      <c r="R73" s="1" t="s">
        <v>55</v>
      </c>
      <c r="S73" s="1" t="s">
        <v>56</v>
      </c>
      <c r="T73" s="1" t="s">
        <v>317</v>
      </c>
      <c r="U73" s="1" t="s">
        <v>318</v>
      </c>
    </row>
    <row r="74" spans="1:21" ht="26.25" x14ac:dyDescent="0.25">
      <c r="A74" s="3" t="s">
        <v>976</v>
      </c>
      <c r="B74" s="2" t="s">
        <v>887</v>
      </c>
      <c r="C74" s="13" t="s">
        <v>1382</v>
      </c>
      <c r="D74" s="14"/>
      <c r="E74" s="13" t="s">
        <v>1383</v>
      </c>
      <c r="F74" s="13"/>
      <c r="G74" s="13" t="s">
        <v>1382</v>
      </c>
      <c r="H74" s="13"/>
      <c r="I74" s="13"/>
      <c r="J74" s="13" t="s">
        <v>1473</v>
      </c>
      <c r="K74" s="6" t="s">
        <v>975</v>
      </c>
      <c r="L74" s="25" t="s">
        <v>62</v>
      </c>
      <c r="M74" s="1" t="s">
        <v>915</v>
      </c>
      <c r="N74" s="1" t="s">
        <v>59</v>
      </c>
      <c r="O74" s="1" t="s">
        <v>32</v>
      </c>
      <c r="P74" s="26"/>
      <c r="Q74" s="1" t="s">
        <v>7</v>
      </c>
      <c r="R74" s="1" t="s">
        <v>55</v>
      </c>
      <c r="S74" s="1" t="s">
        <v>56</v>
      </c>
      <c r="T74" s="1" t="s">
        <v>317</v>
      </c>
      <c r="U74" s="1" t="s">
        <v>318</v>
      </c>
    </row>
    <row r="75" spans="1:21" ht="26.25" x14ac:dyDescent="0.25">
      <c r="A75" s="3" t="s">
        <v>978</v>
      </c>
      <c r="B75" s="2" t="s">
        <v>979</v>
      </c>
      <c r="C75" s="13"/>
      <c r="D75" s="14"/>
      <c r="E75" s="13"/>
      <c r="F75" s="13"/>
      <c r="G75" s="13" t="s">
        <v>1391</v>
      </c>
      <c r="H75" s="13"/>
      <c r="I75" s="13"/>
      <c r="J75" s="13" t="s">
        <v>1474</v>
      </c>
      <c r="K75" s="6" t="s">
        <v>977</v>
      </c>
      <c r="L75" s="25" t="s">
        <v>62</v>
      </c>
      <c r="M75" s="1" t="s">
        <v>914</v>
      </c>
      <c r="N75" s="1" t="s">
        <v>257</v>
      </c>
      <c r="O75" s="1" t="s">
        <v>32</v>
      </c>
      <c r="P75" s="26"/>
      <c r="Q75" s="1" t="s">
        <v>105</v>
      </c>
      <c r="R75" s="1" t="s">
        <v>185</v>
      </c>
      <c r="S75" s="1" t="s">
        <v>186</v>
      </c>
      <c r="T75" s="1" t="s">
        <v>255</v>
      </c>
      <c r="U75" s="1" t="s">
        <v>256</v>
      </c>
    </row>
    <row r="76" spans="1:21" ht="26.25" x14ac:dyDescent="0.25">
      <c r="A76" s="3" t="s">
        <v>981</v>
      </c>
      <c r="B76" s="2" t="s">
        <v>982</v>
      </c>
      <c r="C76" s="13"/>
      <c r="D76" s="14"/>
      <c r="E76" s="13"/>
      <c r="F76" s="13"/>
      <c r="G76" s="13" t="s">
        <v>1391</v>
      </c>
      <c r="H76" s="13"/>
      <c r="I76" s="13"/>
      <c r="J76" s="13" t="s">
        <v>1474</v>
      </c>
      <c r="K76" s="6" t="s">
        <v>980</v>
      </c>
      <c r="L76" s="25" t="s">
        <v>62</v>
      </c>
      <c r="M76" s="1" t="s">
        <v>914</v>
      </c>
      <c r="N76" s="1" t="s">
        <v>257</v>
      </c>
      <c r="O76" s="1" t="s">
        <v>32</v>
      </c>
      <c r="P76" s="26"/>
      <c r="Q76" s="1" t="s">
        <v>105</v>
      </c>
      <c r="R76" s="1" t="s">
        <v>185</v>
      </c>
      <c r="S76" s="1" t="s">
        <v>186</v>
      </c>
      <c r="T76" s="1" t="s">
        <v>255</v>
      </c>
      <c r="U76" s="1" t="s">
        <v>256</v>
      </c>
    </row>
    <row r="77" spans="1:21" ht="26.25" x14ac:dyDescent="0.25">
      <c r="A77" s="3" t="s">
        <v>984</v>
      </c>
      <c r="B77" s="2" t="s">
        <v>985</v>
      </c>
      <c r="C77" s="13"/>
      <c r="D77" s="14"/>
      <c r="E77" s="13"/>
      <c r="F77" s="13"/>
      <c r="G77" s="13" t="s">
        <v>1391</v>
      </c>
      <c r="H77" s="13"/>
      <c r="I77" s="13"/>
      <c r="J77" s="13" t="s">
        <v>1474</v>
      </c>
      <c r="K77" s="6" t="s">
        <v>983</v>
      </c>
      <c r="L77" s="25" t="s">
        <v>62</v>
      </c>
      <c r="M77" s="1" t="s">
        <v>914</v>
      </c>
      <c r="N77" s="1" t="s">
        <v>257</v>
      </c>
      <c r="O77" s="1" t="s">
        <v>32</v>
      </c>
      <c r="P77" s="26"/>
      <c r="Q77" s="1" t="s">
        <v>105</v>
      </c>
      <c r="R77" s="1" t="s">
        <v>185</v>
      </c>
      <c r="S77" s="1" t="s">
        <v>186</v>
      </c>
      <c r="T77" s="1" t="s">
        <v>255</v>
      </c>
      <c r="U77" s="1" t="s">
        <v>256</v>
      </c>
    </row>
    <row r="78" spans="1:21" ht="26.25" x14ac:dyDescent="0.25">
      <c r="A78" s="3" t="s">
        <v>987</v>
      </c>
      <c r="B78" s="2" t="s">
        <v>988</v>
      </c>
      <c r="C78" s="13"/>
      <c r="D78" s="14"/>
      <c r="E78" s="13"/>
      <c r="F78" s="13"/>
      <c r="G78" s="13" t="s">
        <v>1391</v>
      </c>
      <c r="H78" s="13"/>
      <c r="I78" s="13"/>
      <c r="J78" s="13" t="s">
        <v>1474</v>
      </c>
      <c r="K78" s="6" t="s">
        <v>986</v>
      </c>
      <c r="L78" s="25" t="s">
        <v>89</v>
      </c>
      <c r="M78" s="1" t="s">
        <v>914</v>
      </c>
      <c r="N78" s="1" t="s">
        <v>257</v>
      </c>
      <c r="O78" s="1" t="s">
        <v>32</v>
      </c>
      <c r="P78" s="26"/>
      <c r="Q78" s="1" t="s">
        <v>105</v>
      </c>
      <c r="R78" s="1" t="s">
        <v>185</v>
      </c>
      <c r="S78" s="1" t="s">
        <v>186</v>
      </c>
      <c r="T78" s="1" t="s">
        <v>255</v>
      </c>
      <c r="U78" s="1" t="s">
        <v>256</v>
      </c>
    </row>
    <row r="79" spans="1:21" ht="26.25" x14ac:dyDescent="0.25">
      <c r="A79" s="3" t="s">
        <v>990</v>
      </c>
      <c r="B79" s="2" t="s">
        <v>991</v>
      </c>
      <c r="C79" s="13"/>
      <c r="D79" s="14"/>
      <c r="E79" s="13"/>
      <c r="F79" s="13"/>
      <c r="G79" s="13" t="s">
        <v>1406</v>
      </c>
      <c r="H79" s="13"/>
      <c r="I79" s="13"/>
      <c r="J79" s="13" t="s">
        <v>1471</v>
      </c>
      <c r="K79" s="6" t="s">
        <v>989</v>
      </c>
      <c r="L79" s="25" t="s">
        <v>62</v>
      </c>
      <c r="M79" s="1" t="s">
        <v>914</v>
      </c>
      <c r="N79" s="1" t="s">
        <v>257</v>
      </c>
      <c r="O79" s="1" t="s">
        <v>32</v>
      </c>
      <c r="P79" s="26"/>
      <c r="Q79" s="1" t="s">
        <v>105</v>
      </c>
      <c r="R79" s="1" t="s">
        <v>185</v>
      </c>
      <c r="S79" s="1" t="s">
        <v>186</v>
      </c>
      <c r="T79" s="1" t="s">
        <v>255</v>
      </c>
      <c r="U79" s="1" t="s">
        <v>256</v>
      </c>
    </row>
    <row r="80" spans="1:21" ht="26.25" x14ac:dyDescent="0.25">
      <c r="A80" s="3" t="s">
        <v>608</v>
      </c>
      <c r="B80" s="2" t="s">
        <v>609</v>
      </c>
      <c r="C80" s="13" t="s">
        <v>1365</v>
      </c>
      <c r="D80" s="14" t="s">
        <v>1392</v>
      </c>
      <c r="E80" s="13"/>
      <c r="F80" s="13"/>
      <c r="G80" s="14" t="s">
        <v>1392</v>
      </c>
      <c r="H80" s="13"/>
      <c r="I80" s="13"/>
      <c r="J80" s="29" t="s">
        <v>1470</v>
      </c>
      <c r="K80" s="6" t="str">
        <f>HYPERLINK("http://explorer.natureserve.org/servlet/NatureServe?searchSpeciesUid=ELEMENT_GLOBAL.2.143035")</f>
        <v>http://explorer.natureserve.org/servlet/NatureServe?searchSpeciesUid=ELEMENT_GLOBAL.2.143035</v>
      </c>
      <c r="L80" s="25" t="s">
        <v>62</v>
      </c>
      <c r="M80" s="1" t="s">
        <v>914</v>
      </c>
      <c r="N80" s="1" t="s">
        <v>257</v>
      </c>
      <c r="O80" s="1" t="s">
        <v>32</v>
      </c>
      <c r="P80" s="26"/>
      <c r="Q80" s="1" t="s">
        <v>105</v>
      </c>
      <c r="R80" s="1" t="s">
        <v>185</v>
      </c>
      <c r="S80" s="1" t="s">
        <v>186</v>
      </c>
      <c r="T80" s="1" t="s">
        <v>255</v>
      </c>
      <c r="U80" s="1" t="s">
        <v>256</v>
      </c>
    </row>
    <row r="81" spans="1:21" ht="26.25" x14ac:dyDescent="0.25">
      <c r="A81" s="3" t="s">
        <v>993</v>
      </c>
      <c r="B81" s="2" t="s">
        <v>994</v>
      </c>
      <c r="C81" s="13"/>
      <c r="D81" s="14"/>
      <c r="E81" s="13"/>
      <c r="F81" s="13"/>
      <c r="G81" s="13" t="s">
        <v>1391</v>
      </c>
      <c r="H81" s="13"/>
      <c r="I81" s="13"/>
      <c r="J81" s="13" t="s">
        <v>1474</v>
      </c>
      <c r="K81" s="6" t="s">
        <v>992</v>
      </c>
      <c r="L81" s="25" t="s">
        <v>89</v>
      </c>
      <c r="M81" s="1" t="s">
        <v>914</v>
      </c>
      <c r="N81" s="1" t="s">
        <v>257</v>
      </c>
      <c r="O81" s="1" t="s">
        <v>32</v>
      </c>
      <c r="P81" s="26"/>
      <c r="Q81" s="1" t="s">
        <v>105</v>
      </c>
      <c r="R81" s="1" t="s">
        <v>185</v>
      </c>
      <c r="S81" s="1" t="s">
        <v>186</v>
      </c>
      <c r="T81" s="1" t="s">
        <v>255</v>
      </c>
      <c r="U81" s="1" t="s">
        <v>256</v>
      </c>
    </row>
    <row r="82" spans="1:21" ht="26.25" x14ac:dyDescent="0.25">
      <c r="A82" s="3" t="s">
        <v>425</v>
      </c>
      <c r="B82" s="2" t="s">
        <v>426</v>
      </c>
      <c r="C82" s="13" t="s">
        <v>1365</v>
      </c>
      <c r="D82" s="14" t="s">
        <v>1392</v>
      </c>
      <c r="E82" s="14" t="s">
        <v>1392</v>
      </c>
      <c r="F82" s="13"/>
      <c r="G82" s="13"/>
      <c r="H82" s="13"/>
      <c r="I82" s="13"/>
      <c r="J82" s="29" t="s">
        <v>1470</v>
      </c>
      <c r="K82" s="6" t="str">
        <f>HYPERLINK("http://explorer.natureserve.org/servlet/NatureServe?searchSpeciesUid=ELEMENT_GLOBAL.2.156566")</f>
        <v>http://explorer.natureserve.org/servlet/NatureServe?searchSpeciesUid=ELEMENT_GLOBAL.2.156566</v>
      </c>
      <c r="L82" s="25" t="s">
        <v>62</v>
      </c>
      <c r="M82" s="1" t="s">
        <v>914</v>
      </c>
      <c r="N82" s="1" t="s">
        <v>257</v>
      </c>
      <c r="O82" s="1" t="s">
        <v>32</v>
      </c>
      <c r="P82" s="26"/>
      <c r="Q82" s="1" t="s">
        <v>105</v>
      </c>
      <c r="R82" s="1" t="s">
        <v>185</v>
      </c>
      <c r="S82" s="1" t="s">
        <v>186</v>
      </c>
      <c r="T82" s="1" t="s">
        <v>255</v>
      </c>
      <c r="U82" s="1" t="s">
        <v>256</v>
      </c>
    </row>
    <row r="83" spans="1:21" ht="26.25" x14ac:dyDescent="0.25">
      <c r="A83" s="3" t="s">
        <v>995</v>
      </c>
      <c r="B83" s="2" t="s">
        <v>258</v>
      </c>
      <c r="C83" s="13" t="s">
        <v>1397</v>
      </c>
      <c r="D83" s="14" t="s">
        <v>1407</v>
      </c>
      <c r="E83" s="13"/>
      <c r="F83" s="13"/>
      <c r="G83" s="13"/>
      <c r="H83" s="13"/>
      <c r="I83" s="13"/>
      <c r="J83" s="13" t="s">
        <v>1474</v>
      </c>
      <c r="K83" s="6" t="str">
        <f>HYPERLINK("http://explorer.natureserve.org/servlet/NatureServe?searchSpeciesUid=ELEMENT_GLOBAL.2.156983")</f>
        <v>http://explorer.natureserve.org/servlet/NatureServe?searchSpeciesUid=ELEMENT_GLOBAL.2.156983</v>
      </c>
      <c r="L83" s="25" t="s">
        <v>62</v>
      </c>
      <c r="M83" s="1" t="s">
        <v>914</v>
      </c>
      <c r="N83" s="1" t="s">
        <v>257</v>
      </c>
      <c r="O83" s="1" t="s">
        <v>32</v>
      </c>
      <c r="P83" s="26"/>
      <c r="Q83" s="1" t="s">
        <v>105</v>
      </c>
      <c r="R83" s="1" t="s">
        <v>185</v>
      </c>
      <c r="S83" s="1" t="s">
        <v>186</v>
      </c>
      <c r="T83" s="1" t="s">
        <v>255</v>
      </c>
      <c r="U83" s="1" t="s">
        <v>256</v>
      </c>
    </row>
    <row r="84" spans="1:21" ht="26.25" x14ac:dyDescent="0.25">
      <c r="A84" s="3" t="s">
        <v>863</v>
      </c>
      <c r="B84" s="2" t="s">
        <v>997</v>
      </c>
      <c r="C84" s="13" t="s">
        <v>1408</v>
      </c>
      <c r="D84" s="14"/>
      <c r="E84" s="13" t="s">
        <v>1408</v>
      </c>
      <c r="F84" s="13" t="s">
        <v>1402</v>
      </c>
      <c r="G84" s="13"/>
      <c r="H84" s="13"/>
      <c r="I84" s="13"/>
      <c r="J84" s="13" t="s">
        <v>1471</v>
      </c>
      <c r="K84" s="6" t="s">
        <v>996</v>
      </c>
      <c r="L84" s="25" t="s">
        <v>52</v>
      </c>
      <c r="M84" s="1" t="s">
        <v>914</v>
      </c>
      <c r="N84" s="1" t="s">
        <v>257</v>
      </c>
      <c r="O84" s="1" t="s">
        <v>32</v>
      </c>
      <c r="P84" s="26"/>
      <c r="Q84" s="1" t="s">
        <v>105</v>
      </c>
      <c r="R84" s="1" t="s">
        <v>185</v>
      </c>
      <c r="S84" s="1" t="s">
        <v>186</v>
      </c>
      <c r="T84" s="1" t="s">
        <v>255</v>
      </c>
      <c r="U84" s="1" t="s">
        <v>256</v>
      </c>
    </row>
    <row r="85" spans="1:21" ht="26.25" x14ac:dyDescent="0.25">
      <c r="A85" s="3" t="s">
        <v>999</v>
      </c>
      <c r="B85" s="2" t="s">
        <v>1000</v>
      </c>
      <c r="C85" s="13"/>
      <c r="D85" s="14"/>
      <c r="E85" s="13"/>
      <c r="F85" s="13"/>
      <c r="G85" s="13" t="s">
        <v>1406</v>
      </c>
      <c r="H85" s="13"/>
      <c r="I85" s="13"/>
      <c r="J85" s="13" t="s">
        <v>1471</v>
      </c>
      <c r="K85" s="6" t="s">
        <v>998</v>
      </c>
      <c r="L85" s="25" t="s">
        <v>62</v>
      </c>
      <c r="M85" s="1" t="s">
        <v>914</v>
      </c>
      <c r="N85" s="1" t="s">
        <v>257</v>
      </c>
      <c r="O85" s="1" t="s">
        <v>32</v>
      </c>
      <c r="P85" s="26"/>
      <c r="Q85" s="1" t="s">
        <v>105</v>
      </c>
      <c r="R85" s="1" t="s">
        <v>185</v>
      </c>
      <c r="S85" s="1" t="s">
        <v>186</v>
      </c>
      <c r="T85" s="1" t="s">
        <v>255</v>
      </c>
      <c r="U85" s="1" t="s">
        <v>256</v>
      </c>
    </row>
    <row r="86" spans="1:21" ht="26.25" x14ac:dyDescent="0.25">
      <c r="A86" s="3" t="s">
        <v>736</v>
      </c>
      <c r="B86" s="2" t="s">
        <v>737</v>
      </c>
      <c r="C86" s="13" t="s">
        <v>1408</v>
      </c>
      <c r="D86" s="13" t="s">
        <v>1408</v>
      </c>
      <c r="E86" s="13"/>
      <c r="F86" s="13" t="s">
        <v>1402</v>
      </c>
      <c r="G86" s="13"/>
      <c r="H86" s="13"/>
      <c r="I86" s="13"/>
      <c r="J86" s="13" t="s">
        <v>1471</v>
      </c>
      <c r="K86" s="6" t="str">
        <f>HYPERLINK("http://explorer.natureserve.org/servlet/NatureServe?searchSpeciesUid=ELEMENT_GLOBAL.2.147169")</f>
        <v>http://explorer.natureserve.org/servlet/NatureServe?searchSpeciesUid=ELEMENT_GLOBAL.2.147169</v>
      </c>
      <c r="L86" s="25" t="s">
        <v>52</v>
      </c>
      <c r="M86" s="1" t="s">
        <v>914</v>
      </c>
      <c r="N86" s="1" t="s">
        <v>257</v>
      </c>
      <c r="O86" s="1" t="s">
        <v>32</v>
      </c>
      <c r="P86" s="26"/>
      <c r="Q86" s="1" t="s">
        <v>105</v>
      </c>
      <c r="R86" s="1" t="s">
        <v>185</v>
      </c>
      <c r="S86" s="1" t="s">
        <v>186</v>
      </c>
      <c r="T86" s="1" t="s">
        <v>255</v>
      </c>
      <c r="U86" s="1" t="s">
        <v>256</v>
      </c>
    </row>
    <row r="87" spans="1:21" ht="26.25" x14ac:dyDescent="0.25">
      <c r="A87" s="3" t="s">
        <v>1002</v>
      </c>
      <c r="B87" s="2" t="s">
        <v>1003</v>
      </c>
      <c r="C87" s="13"/>
      <c r="D87" s="14"/>
      <c r="E87" s="13"/>
      <c r="F87" s="13"/>
      <c r="G87" s="13" t="s">
        <v>1406</v>
      </c>
      <c r="H87" s="13"/>
      <c r="I87" s="13"/>
      <c r="J87" s="13" t="s">
        <v>1471</v>
      </c>
      <c r="K87" s="6" t="s">
        <v>1001</v>
      </c>
      <c r="L87" s="25" t="s">
        <v>89</v>
      </c>
      <c r="M87" s="1" t="s">
        <v>914</v>
      </c>
      <c r="N87" s="1" t="s">
        <v>257</v>
      </c>
      <c r="O87" s="1" t="s">
        <v>32</v>
      </c>
      <c r="P87" s="26"/>
      <c r="Q87" s="1" t="s">
        <v>105</v>
      </c>
      <c r="R87" s="1" t="s">
        <v>185</v>
      </c>
      <c r="S87" s="1" t="s">
        <v>186</v>
      </c>
      <c r="T87" s="1" t="s">
        <v>255</v>
      </c>
      <c r="U87" s="1" t="s">
        <v>256</v>
      </c>
    </row>
    <row r="88" spans="1:21" ht="26.25" x14ac:dyDescent="0.25">
      <c r="A88" s="3" t="s">
        <v>1005</v>
      </c>
      <c r="B88" s="2" t="s">
        <v>1006</v>
      </c>
      <c r="C88" s="13"/>
      <c r="D88" s="14"/>
      <c r="E88" s="13"/>
      <c r="F88" s="13"/>
      <c r="G88" s="13" t="s">
        <v>1391</v>
      </c>
      <c r="H88" s="13"/>
      <c r="I88" s="13"/>
      <c r="J88" s="13" t="s">
        <v>1474</v>
      </c>
      <c r="K88" s="6" t="s">
        <v>1004</v>
      </c>
      <c r="L88" s="25" t="s">
        <v>89</v>
      </c>
      <c r="M88" s="1" t="s">
        <v>914</v>
      </c>
      <c r="N88" s="1" t="s">
        <v>257</v>
      </c>
      <c r="O88" s="1" t="s">
        <v>32</v>
      </c>
      <c r="P88" s="26"/>
      <c r="Q88" s="1" t="s">
        <v>105</v>
      </c>
      <c r="R88" s="1" t="s">
        <v>185</v>
      </c>
      <c r="S88" s="1" t="s">
        <v>186</v>
      </c>
      <c r="T88" s="1" t="s">
        <v>255</v>
      </c>
      <c r="U88" s="1" t="s">
        <v>256</v>
      </c>
    </row>
    <row r="89" spans="1:21" ht="26.25" x14ac:dyDescent="0.25">
      <c r="A89" s="7" t="s">
        <v>1008</v>
      </c>
      <c r="B89" s="8" t="s">
        <v>1009</v>
      </c>
      <c r="C89" s="13" t="s">
        <v>1409</v>
      </c>
      <c r="D89" s="13" t="s">
        <v>1409</v>
      </c>
      <c r="E89" s="13" t="s">
        <v>1409</v>
      </c>
      <c r="F89" s="13" t="s">
        <v>1409</v>
      </c>
      <c r="G89" s="13" t="s">
        <v>1409</v>
      </c>
      <c r="H89" s="13" t="s">
        <v>1409</v>
      </c>
      <c r="I89" s="13" t="s">
        <v>1409</v>
      </c>
      <c r="J89" s="29" t="s">
        <v>1470</v>
      </c>
      <c r="K89" s="6" t="str">
        <f>HYPERLINK("http://explorer.natureserve.org/servlet/NatureServe?searchSpeciesUid=ELEMENT_GLOBAL.2.135078")</f>
        <v>http://explorer.natureserve.org/servlet/NatureServe?searchSpeciesUid=ELEMENT_GLOBAL.2.135078</v>
      </c>
      <c r="L89" s="25" t="s">
        <v>62</v>
      </c>
      <c r="M89" s="1" t="s">
        <v>914</v>
      </c>
      <c r="N89" s="1" t="s">
        <v>189</v>
      </c>
      <c r="O89" s="1" t="s">
        <v>32</v>
      </c>
      <c r="P89" s="26" t="s">
        <v>140</v>
      </c>
      <c r="Q89" s="1" t="s">
        <v>105</v>
      </c>
      <c r="R89" s="1" t="s">
        <v>185</v>
      </c>
      <c r="S89" s="1" t="s">
        <v>200</v>
      </c>
      <c r="T89" s="1" t="s">
        <v>504</v>
      </c>
      <c r="U89" s="1" t="s">
        <v>1007</v>
      </c>
    </row>
    <row r="90" spans="1:21" ht="26.25" x14ac:dyDescent="0.25">
      <c r="A90" s="3" t="s">
        <v>194</v>
      </c>
      <c r="B90" s="2" t="s">
        <v>195</v>
      </c>
      <c r="C90" s="13"/>
      <c r="D90" s="14" t="s">
        <v>1367</v>
      </c>
      <c r="E90" s="13"/>
      <c r="F90" s="13"/>
      <c r="G90" s="13"/>
      <c r="H90" s="13"/>
      <c r="I90" s="13"/>
      <c r="J90" s="13" t="s">
        <v>1474</v>
      </c>
      <c r="K90" s="6" t="str">
        <f>HYPERLINK("http://explorer.natureserve.org/servlet/NatureServe?searchSpeciesUid=ELEMENT_GLOBAL.2.106330")</f>
        <v>http://explorer.natureserve.org/servlet/NatureServe?searchSpeciesUid=ELEMENT_GLOBAL.2.106330</v>
      </c>
      <c r="L90" s="25" t="s">
        <v>89</v>
      </c>
      <c r="M90" s="1" t="s">
        <v>915</v>
      </c>
      <c r="N90" s="1" t="s">
        <v>59</v>
      </c>
      <c r="O90" s="1" t="s">
        <v>32</v>
      </c>
      <c r="P90" s="26"/>
      <c r="Q90" s="1" t="s">
        <v>7</v>
      </c>
      <c r="R90" s="1" t="s">
        <v>55</v>
      </c>
      <c r="S90" s="1" t="s">
        <v>56</v>
      </c>
      <c r="T90" s="1" t="s">
        <v>57</v>
      </c>
      <c r="U90" s="1" t="s">
        <v>193</v>
      </c>
    </row>
    <row r="91" spans="1:21" ht="26.25" x14ac:dyDescent="0.25">
      <c r="A91" s="3" t="s">
        <v>807</v>
      </c>
      <c r="B91" s="2" t="s">
        <v>808</v>
      </c>
      <c r="C91" s="13"/>
      <c r="D91" s="14"/>
      <c r="E91" s="13" t="s">
        <v>1372</v>
      </c>
      <c r="F91" s="13"/>
      <c r="G91" s="13"/>
      <c r="H91" s="13"/>
      <c r="I91" s="13"/>
      <c r="J91" s="13" t="s">
        <v>1474</v>
      </c>
      <c r="K91" s="6" t="s">
        <v>1010</v>
      </c>
      <c r="L91" s="25" t="s">
        <v>62</v>
      </c>
      <c r="M91" s="1" t="s">
        <v>915</v>
      </c>
      <c r="N91" s="1" t="s">
        <v>59</v>
      </c>
      <c r="O91" s="1" t="s">
        <v>32</v>
      </c>
      <c r="P91" s="26"/>
      <c r="Q91" s="1" t="s">
        <v>7</v>
      </c>
      <c r="R91" s="1" t="s">
        <v>55</v>
      </c>
      <c r="S91" s="1" t="s">
        <v>56</v>
      </c>
      <c r="T91" s="1" t="s">
        <v>57</v>
      </c>
      <c r="U91" s="1" t="s">
        <v>193</v>
      </c>
    </row>
    <row r="92" spans="1:21" ht="26.25" x14ac:dyDescent="0.25">
      <c r="A92" s="3" t="s">
        <v>802</v>
      </c>
      <c r="B92" s="2" t="s">
        <v>803</v>
      </c>
      <c r="C92" s="13"/>
      <c r="D92" s="14" t="s">
        <v>1367</v>
      </c>
      <c r="E92" s="13"/>
      <c r="F92" s="13"/>
      <c r="G92" s="13"/>
      <c r="H92" s="13"/>
      <c r="I92" s="13"/>
      <c r="J92" s="13" t="s">
        <v>1474</v>
      </c>
      <c r="K92" s="6" t="str">
        <f>HYPERLINK("http://explorer.natureserve.org/servlet/NatureServe?searchSpeciesUid=ELEMENT_GLOBAL.2.833293")</f>
        <v>http://explorer.natureserve.org/servlet/NatureServe?searchSpeciesUid=ELEMENT_GLOBAL.2.833293</v>
      </c>
      <c r="L92" s="25" t="s">
        <v>116</v>
      </c>
      <c r="M92" s="1" t="s">
        <v>915</v>
      </c>
      <c r="N92" s="1" t="s">
        <v>86</v>
      </c>
      <c r="O92" s="1" t="s">
        <v>68</v>
      </c>
      <c r="P92" s="26"/>
      <c r="Q92" s="1" t="s">
        <v>7</v>
      </c>
      <c r="R92" s="1" t="s">
        <v>55</v>
      </c>
      <c r="S92" s="1" t="s">
        <v>83</v>
      </c>
      <c r="T92" s="1" t="s">
        <v>213</v>
      </c>
      <c r="U92" s="1" t="s">
        <v>214</v>
      </c>
    </row>
    <row r="93" spans="1:21" ht="26.25" x14ac:dyDescent="0.25">
      <c r="A93" s="3" t="s">
        <v>540</v>
      </c>
      <c r="B93" s="2" t="s">
        <v>541</v>
      </c>
      <c r="C93" s="13" t="s">
        <v>1397</v>
      </c>
      <c r="D93" s="14" t="s">
        <v>1407</v>
      </c>
      <c r="E93" s="13"/>
      <c r="F93" s="13"/>
      <c r="G93" s="14" t="s">
        <v>1407</v>
      </c>
      <c r="H93" s="13"/>
      <c r="I93" s="13"/>
      <c r="J93" s="13" t="s">
        <v>1474</v>
      </c>
      <c r="K93" s="6" t="str">
        <f>HYPERLINK("http://explorer.natureserve.org/servlet/NatureServe?searchSpeciesUid=ELEMENT_GLOBAL.2.152623")</f>
        <v>http://explorer.natureserve.org/servlet/NatureServe?searchSpeciesUid=ELEMENT_GLOBAL.2.152623</v>
      </c>
      <c r="L93" s="25" t="s">
        <v>62</v>
      </c>
      <c r="M93" s="1" t="s">
        <v>914</v>
      </c>
      <c r="N93" s="1" t="s">
        <v>252</v>
      </c>
      <c r="O93" s="1" t="s">
        <v>32</v>
      </c>
      <c r="P93" s="26"/>
      <c r="Q93" s="1" t="s">
        <v>105</v>
      </c>
      <c r="R93" s="1" t="s">
        <v>185</v>
      </c>
      <c r="S93" s="1" t="s">
        <v>200</v>
      </c>
      <c r="T93" s="1" t="s">
        <v>250</v>
      </c>
      <c r="U93" s="1" t="s">
        <v>251</v>
      </c>
    </row>
    <row r="94" spans="1:21" ht="26.25" x14ac:dyDescent="0.25">
      <c r="A94" s="3" t="s">
        <v>721</v>
      </c>
      <c r="B94" s="2" t="s">
        <v>722</v>
      </c>
      <c r="C94" s="13"/>
      <c r="D94" s="14"/>
      <c r="E94" s="13" t="s">
        <v>1393</v>
      </c>
      <c r="F94" s="13"/>
      <c r="G94" s="13"/>
      <c r="H94" s="13"/>
      <c r="I94" s="13"/>
      <c r="J94" s="13" t="s">
        <v>1477</v>
      </c>
      <c r="K94" s="6" t="s">
        <v>1011</v>
      </c>
      <c r="L94" s="25" t="s">
        <v>192</v>
      </c>
      <c r="M94" s="1" t="s">
        <v>922</v>
      </c>
      <c r="N94" s="1" t="s">
        <v>21</v>
      </c>
      <c r="O94" s="1" t="s">
        <v>13</v>
      </c>
      <c r="P94" s="26"/>
      <c r="Q94" s="1" t="s">
        <v>7</v>
      </c>
      <c r="R94" s="1" t="s">
        <v>17</v>
      </c>
      <c r="S94" s="1" t="s">
        <v>18</v>
      </c>
      <c r="T94" s="1" t="s">
        <v>361</v>
      </c>
      <c r="U94" s="1" t="s">
        <v>720</v>
      </c>
    </row>
    <row r="95" spans="1:21" ht="26.25" x14ac:dyDescent="0.25">
      <c r="A95" s="3" t="s">
        <v>221</v>
      </c>
      <c r="B95" s="2" t="s">
        <v>222</v>
      </c>
      <c r="C95" s="13"/>
      <c r="D95" s="14" t="s">
        <v>1388</v>
      </c>
      <c r="E95" s="13"/>
      <c r="F95" s="13"/>
      <c r="G95" s="13"/>
      <c r="H95" s="13"/>
      <c r="I95" s="13"/>
      <c r="J95" s="13" t="s">
        <v>1477</v>
      </c>
      <c r="K95" s="6" t="str">
        <f>HYPERLINK("http://explorer.natureserve.org/servlet/NatureServe?searchSpeciesUid=ELEMENT_GLOBAL.2.105682")</f>
        <v>http://explorer.natureserve.org/servlet/NatureServe?searchSpeciesUid=ELEMENT_GLOBAL.2.105682</v>
      </c>
      <c r="L95" s="25" t="s">
        <v>89</v>
      </c>
      <c r="M95" s="1" t="s">
        <v>915</v>
      </c>
      <c r="N95" s="1" t="s">
        <v>59</v>
      </c>
      <c r="O95" s="1" t="s">
        <v>32</v>
      </c>
      <c r="P95" s="26"/>
      <c r="Q95" s="1" t="s">
        <v>7</v>
      </c>
      <c r="R95" s="1" t="s">
        <v>55</v>
      </c>
      <c r="S95" s="1" t="s">
        <v>56</v>
      </c>
      <c r="T95" s="1" t="s">
        <v>101</v>
      </c>
      <c r="U95" s="1" t="s">
        <v>220</v>
      </c>
    </row>
    <row r="96" spans="1:21" ht="26.25" x14ac:dyDescent="0.25">
      <c r="A96" s="3" t="s">
        <v>461</v>
      </c>
      <c r="B96" s="2" t="s">
        <v>462</v>
      </c>
      <c r="C96" s="13"/>
      <c r="D96" s="14" t="s">
        <v>1388</v>
      </c>
      <c r="E96" s="13"/>
      <c r="F96" s="13"/>
      <c r="G96" s="13"/>
      <c r="H96" s="13"/>
      <c r="I96" s="13"/>
      <c r="J96" s="13" t="s">
        <v>1477</v>
      </c>
      <c r="K96" s="6" t="str">
        <f>HYPERLINK("http://explorer.natureserve.org/servlet/NatureServe?searchSpeciesUid=ELEMENT_GLOBAL.2.116391")</f>
        <v>http://explorer.natureserve.org/servlet/NatureServe?searchSpeciesUid=ELEMENT_GLOBAL.2.116391</v>
      </c>
      <c r="L96" s="25" t="s">
        <v>62</v>
      </c>
      <c r="M96" s="1" t="s">
        <v>922</v>
      </c>
      <c r="N96" s="1" t="s">
        <v>12</v>
      </c>
      <c r="O96" s="1" t="s">
        <v>32</v>
      </c>
      <c r="P96" s="26"/>
      <c r="Q96" s="1" t="s">
        <v>7</v>
      </c>
      <c r="R96" s="1" t="s">
        <v>8</v>
      </c>
      <c r="S96" s="1" t="s">
        <v>9</v>
      </c>
      <c r="T96" s="1" t="s">
        <v>141</v>
      </c>
      <c r="U96" s="1" t="s">
        <v>460</v>
      </c>
    </row>
    <row r="97" spans="1:21" ht="26.25" x14ac:dyDescent="0.25">
      <c r="A97" s="3" t="s">
        <v>46</v>
      </c>
      <c r="B97" s="2" t="s">
        <v>44</v>
      </c>
      <c r="C97" s="13"/>
      <c r="D97" s="14"/>
      <c r="E97" s="13" t="s">
        <v>1393</v>
      </c>
      <c r="F97" s="13"/>
      <c r="G97" s="13" t="s">
        <v>151</v>
      </c>
      <c r="H97" s="13"/>
      <c r="I97" s="13"/>
      <c r="J97" s="13" t="s">
        <v>1477</v>
      </c>
      <c r="K97" s="6" t="s">
        <v>1012</v>
      </c>
      <c r="L97" s="25" t="s">
        <v>15</v>
      </c>
      <c r="M97" s="1" t="s">
        <v>922</v>
      </c>
      <c r="N97" s="1" t="s">
        <v>21</v>
      </c>
      <c r="O97" s="1" t="s">
        <v>32</v>
      </c>
      <c r="P97" s="26"/>
      <c r="Q97" s="1" t="s">
        <v>7</v>
      </c>
      <c r="R97" s="1" t="s">
        <v>17</v>
      </c>
      <c r="S97" s="1" t="s">
        <v>18</v>
      </c>
      <c r="T97" s="1" t="s">
        <v>19</v>
      </c>
      <c r="U97" s="1" t="s">
        <v>45</v>
      </c>
    </row>
    <row r="98" spans="1:21" ht="51.75" x14ac:dyDescent="0.25">
      <c r="A98" s="3" t="s">
        <v>147</v>
      </c>
      <c r="B98" s="2" t="s">
        <v>1013</v>
      </c>
      <c r="C98" s="13" t="s">
        <v>1397</v>
      </c>
      <c r="D98" s="14" t="s">
        <v>1388</v>
      </c>
      <c r="E98" s="13" t="s">
        <v>1393</v>
      </c>
      <c r="F98" s="13" t="s">
        <v>1448</v>
      </c>
      <c r="G98" s="13"/>
      <c r="H98" s="13" t="s">
        <v>1448</v>
      </c>
      <c r="I98" s="13" t="s">
        <v>1448</v>
      </c>
      <c r="J98" s="13" t="s">
        <v>1476</v>
      </c>
      <c r="K98" s="6" t="str">
        <f>HYPERLINK("http://explorer.natureserve.org/servlet/NatureServe?searchSpeciesUid=ELEMENT_GLOBAL.2.109437")</f>
        <v>http://explorer.natureserve.org/servlet/NatureServe?searchSpeciesUid=ELEMENT_GLOBAL.2.109437</v>
      </c>
      <c r="L98" s="25" t="s">
        <v>52</v>
      </c>
      <c r="M98" s="1" t="s">
        <v>922</v>
      </c>
      <c r="N98" s="1" t="s">
        <v>12</v>
      </c>
      <c r="O98" s="1" t="s">
        <v>32</v>
      </c>
      <c r="P98" s="26" t="s">
        <v>53</v>
      </c>
      <c r="Q98" s="1" t="s">
        <v>7</v>
      </c>
      <c r="R98" s="1" t="s">
        <v>8</v>
      </c>
      <c r="S98" s="1" t="s">
        <v>9</v>
      </c>
      <c r="T98" s="1" t="s">
        <v>10</v>
      </c>
      <c r="U98" s="1" t="s">
        <v>146</v>
      </c>
    </row>
    <row r="99" spans="1:21" ht="26.25" x14ac:dyDescent="0.25">
      <c r="A99" s="3" t="s">
        <v>487</v>
      </c>
      <c r="B99" s="2" t="s">
        <v>488</v>
      </c>
      <c r="C99" s="13"/>
      <c r="D99" s="14" t="s">
        <v>1367</v>
      </c>
      <c r="E99" s="13"/>
      <c r="F99" s="13"/>
      <c r="G99" s="13"/>
      <c r="H99" s="13"/>
      <c r="I99" s="13"/>
      <c r="J99" s="13" t="s">
        <v>1474</v>
      </c>
      <c r="K99" s="6" t="str">
        <f>HYPERLINK("http://explorer.natureserve.org/servlet/NatureServe?searchSpeciesUid=ELEMENT_GLOBAL.2.117645")</f>
        <v>http://explorer.natureserve.org/servlet/NatureServe?searchSpeciesUid=ELEMENT_GLOBAL.2.117645</v>
      </c>
      <c r="L99" s="25" t="s">
        <v>62</v>
      </c>
      <c r="M99" s="1" t="s">
        <v>922</v>
      </c>
      <c r="N99" s="1" t="s">
        <v>12</v>
      </c>
      <c r="O99" s="1" t="s">
        <v>32</v>
      </c>
      <c r="P99" s="26"/>
      <c r="Q99" s="1" t="s">
        <v>7</v>
      </c>
      <c r="R99" s="1" t="s">
        <v>8</v>
      </c>
      <c r="S99" s="1" t="s">
        <v>9</v>
      </c>
      <c r="T99" s="1" t="s">
        <v>10</v>
      </c>
      <c r="U99" s="1" t="s">
        <v>146</v>
      </c>
    </row>
    <row r="100" spans="1:21" ht="51.75" x14ac:dyDescent="0.25">
      <c r="A100" s="3" t="s">
        <v>330</v>
      </c>
      <c r="B100" s="2" t="s">
        <v>331</v>
      </c>
      <c r="C100" s="13" t="s">
        <v>1397</v>
      </c>
      <c r="D100" s="14" t="s">
        <v>1388</v>
      </c>
      <c r="E100" s="13" t="s">
        <v>1372</v>
      </c>
      <c r="F100" s="13"/>
      <c r="G100" s="13" t="s">
        <v>1410</v>
      </c>
      <c r="H100" s="13"/>
      <c r="I100" s="13" t="s">
        <v>1410</v>
      </c>
      <c r="J100" s="13" t="s">
        <v>1476</v>
      </c>
      <c r="K100" s="6" t="str">
        <f>HYPERLINK("http://explorer.natureserve.org/servlet/NatureServe?searchSpeciesUid=ELEMENT_GLOBAL.2.109719")</f>
        <v>http://explorer.natureserve.org/servlet/NatureServe?searchSpeciesUid=ELEMENT_GLOBAL.2.109719</v>
      </c>
      <c r="L100" s="25" t="s">
        <v>116</v>
      </c>
      <c r="M100" s="1" t="s">
        <v>922</v>
      </c>
      <c r="N100" s="1" t="s">
        <v>12</v>
      </c>
      <c r="O100" s="1" t="s">
        <v>32</v>
      </c>
      <c r="P100" s="26"/>
      <c r="Q100" s="1" t="s">
        <v>7</v>
      </c>
      <c r="R100" s="1" t="s">
        <v>8</v>
      </c>
      <c r="S100" s="1" t="s">
        <v>9</v>
      </c>
      <c r="T100" s="1" t="s">
        <v>10</v>
      </c>
      <c r="U100" s="1" t="s">
        <v>146</v>
      </c>
    </row>
    <row r="101" spans="1:21" ht="39" x14ac:dyDescent="0.25">
      <c r="A101" s="3" t="s">
        <v>618</v>
      </c>
      <c r="B101" s="2" t="s">
        <v>1290</v>
      </c>
      <c r="C101" s="13" t="s">
        <v>1403</v>
      </c>
      <c r="D101" s="14" t="s">
        <v>1373</v>
      </c>
      <c r="E101" s="13" t="s">
        <v>1411</v>
      </c>
      <c r="F101" s="13" t="s">
        <v>1411</v>
      </c>
      <c r="G101" s="13"/>
      <c r="H101" s="13" t="s">
        <v>1411</v>
      </c>
      <c r="I101" s="13" t="s">
        <v>1411</v>
      </c>
      <c r="J101" s="13" t="s">
        <v>1479</v>
      </c>
      <c r="K101" s="6" t="str">
        <f>HYPERLINK("http://explorer.natureserve.org/servlet/NatureServe?searchSpeciesUid=ELEMENT_GLOBAL.2.115402")</f>
        <v>http://explorer.natureserve.org/servlet/NatureServe?searchSpeciesUid=ELEMENT_GLOBAL.2.115402</v>
      </c>
      <c r="L101" s="25" t="s">
        <v>52</v>
      </c>
      <c r="M101" s="1" t="s">
        <v>922</v>
      </c>
      <c r="N101" s="1" t="s">
        <v>12</v>
      </c>
      <c r="O101" s="1" t="s">
        <v>32</v>
      </c>
      <c r="P101" s="26"/>
      <c r="Q101" s="1" t="s">
        <v>7</v>
      </c>
      <c r="R101" s="1" t="s">
        <v>8</v>
      </c>
      <c r="S101" s="1" t="s">
        <v>9</v>
      </c>
      <c r="T101" s="1" t="s">
        <v>10</v>
      </c>
      <c r="U101" s="1" t="s">
        <v>146</v>
      </c>
    </row>
    <row r="102" spans="1:21" ht="26.25" x14ac:dyDescent="0.25">
      <c r="A102" s="4" t="s">
        <v>708</v>
      </c>
      <c r="B102" s="2" t="s">
        <v>709</v>
      </c>
      <c r="C102" s="13"/>
      <c r="D102" s="14"/>
      <c r="E102" s="13" t="s">
        <v>1379</v>
      </c>
      <c r="F102" s="13"/>
      <c r="G102" s="13"/>
      <c r="H102" s="13"/>
      <c r="I102" s="13"/>
      <c r="J102" s="29" t="s">
        <v>1470</v>
      </c>
      <c r="K102" s="6" t="s">
        <v>1014</v>
      </c>
      <c r="L102" s="25" t="s">
        <v>82</v>
      </c>
      <c r="M102" s="1" t="s">
        <v>915</v>
      </c>
      <c r="N102" s="1" t="s">
        <v>86</v>
      </c>
      <c r="O102" s="1" t="s">
        <v>68</v>
      </c>
      <c r="P102" s="26"/>
      <c r="Q102" s="1" t="s">
        <v>7</v>
      </c>
      <c r="R102" s="1" t="s">
        <v>55</v>
      </c>
      <c r="S102" s="1" t="s">
        <v>83</v>
      </c>
      <c r="T102" s="1" t="s">
        <v>213</v>
      </c>
      <c r="U102" s="1" t="s">
        <v>516</v>
      </c>
    </row>
    <row r="103" spans="1:21" ht="26.25" x14ac:dyDescent="0.25">
      <c r="A103" s="7" t="s">
        <v>1015</v>
      </c>
      <c r="B103" s="8" t="s">
        <v>1016</v>
      </c>
      <c r="C103" s="13" t="s">
        <v>1401</v>
      </c>
      <c r="D103" s="13" t="s">
        <v>1401</v>
      </c>
      <c r="E103" s="13" t="s">
        <v>1401</v>
      </c>
      <c r="F103" s="13" t="s">
        <v>1401</v>
      </c>
      <c r="G103" s="13"/>
      <c r="H103" s="13" t="s">
        <v>1401</v>
      </c>
      <c r="I103" s="13"/>
      <c r="J103" s="13" t="s">
        <v>1471</v>
      </c>
      <c r="K103" s="6" t="str">
        <f>HYPERLINK("http://explorer.natureserve.org/servlet/NatureServe?searchSpeciesUid=ELEMENT_GLOBAL.2.153238")</f>
        <v>http://explorer.natureserve.org/servlet/NatureServe?searchSpeciesUid=ELEMENT_GLOBAL.2.153238</v>
      </c>
      <c r="L103" s="25" t="s">
        <v>62</v>
      </c>
      <c r="M103" s="1" t="s">
        <v>914</v>
      </c>
      <c r="N103" s="1" t="s">
        <v>189</v>
      </c>
      <c r="O103" s="1" t="s">
        <v>32</v>
      </c>
      <c r="P103" s="26" t="s">
        <v>54</v>
      </c>
      <c r="Q103" s="1" t="s">
        <v>105</v>
      </c>
      <c r="R103" s="1" t="s">
        <v>185</v>
      </c>
      <c r="S103" s="1" t="s">
        <v>186</v>
      </c>
      <c r="T103" s="1" t="s">
        <v>419</v>
      </c>
      <c r="U103" s="1" t="s">
        <v>420</v>
      </c>
    </row>
    <row r="104" spans="1:21" ht="26.25" x14ac:dyDescent="0.25">
      <c r="A104" s="4" t="s">
        <v>662</v>
      </c>
      <c r="B104" s="2" t="s">
        <v>663</v>
      </c>
      <c r="C104" s="13"/>
      <c r="D104" s="14"/>
      <c r="E104" s="13" t="s">
        <v>1372</v>
      </c>
      <c r="F104" s="13" t="s">
        <v>1405</v>
      </c>
      <c r="G104" s="13"/>
      <c r="H104" s="13"/>
      <c r="I104" s="13"/>
      <c r="J104" s="13" t="s">
        <v>1474</v>
      </c>
      <c r="K104" s="6" t="s">
        <v>1017</v>
      </c>
      <c r="L104" s="25" t="s">
        <v>62</v>
      </c>
      <c r="M104" s="1" t="s">
        <v>922</v>
      </c>
      <c r="N104" s="1" t="s">
        <v>12</v>
      </c>
      <c r="O104" s="1" t="s">
        <v>32</v>
      </c>
      <c r="P104" s="26"/>
      <c r="Q104" s="1" t="s">
        <v>7</v>
      </c>
      <c r="R104" s="1" t="s">
        <v>8</v>
      </c>
      <c r="S104" s="1" t="s">
        <v>9</v>
      </c>
      <c r="T104" s="1" t="s">
        <v>141</v>
      </c>
      <c r="U104" s="1" t="s">
        <v>639</v>
      </c>
    </row>
    <row r="105" spans="1:21" ht="26.25" x14ac:dyDescent="0.25">
      <c r="A105" s="4" t="s">
        <v>397</v>
      </c>
      <c r="B105" s="2" t="s">
        <v>398</v>
      </c>
      <c r="C105" s="13"/>
      <c r="D105" s="14" t="s">
        <v>1373</v>
      </c>
      <c r="E105" s="13"/>
      <c r="F105" s="13"/>
      <c r="G105" s="13"/>
      <c r="H105" s="13" t="s">
        <v>151</v>
      </c>
      <c r="I105" s="13"/>
      <c r="J105" s="13" t="s">
        <v>1473</v>
      </c>
      <c r="K105" s="6" t="str">
        <f>HYPERLINK("http://explorer.natureserve.org/servlet/NatureServe?searchSpeciesUid=ELEMENT_GLOBAL.2.103328")</f>
        <v>http://explorer.natureserve.org/servlet/NatureServe?searchSpeciesUid=ELEMENT_GLOBAL.2.103328</v>
      </c>
      <c r="L105" s="25" t="s">
        <v>62</v>
      </c>
      <c r="M105" s="1" t="s">
        <v>915</v>
      </c>
      <c r="N105" s="1" t="s">
        <v>171</v>
      </c>
      <c r="O105" s="1" t="s">
        <v>32</v>
      </c>
      <c r="P105" s="26"/>
      <c r="Q105" s="1" t="s">
        <v>7</v>
      </c>
      <c r="R105" s="1" t="s">
        <v>55</v>
      </c>
      <c r="S105" s="1" t="s">
        <v>326</v>
      </c>
      <c r="T105" s="1" t="s">
        <v>327</v>
      </c>
      <c r="U105" s="1" t="s">
        <v>387</v>
      </c>
    </row>
    <row r="106" spans="1:21" ht="26.25" x14ac:dyDescent="0.25">
      <c r="A106" s="3" t="s">
        <v>1019</v>
      </c>
      <c r="B106" s="2" t="s">
        <v>1020</v>
      </c>
      <c r="C106" s="13"/>
      <c r="D106" s="14"/>
      <c r="E106" s="13"/>
      <c r="F106" s="13"/>
      <c r="G106" s="13" t="s">
        <v>1380</v>
      </c>
      <c r="H106" s="13"/>
      <c r="I106" s="13"/>
      <c r="J106" s="13" t="s">
        <v>1477</v>
      </c>
      <c r="K106" s="6" t="s">
        <v>1018</v>
      </c>
      <c r="L106" s="25" t="s">
        <v>62</v>
      </c>
      <c r="M106" s="1" t="s">
        <v>914</v>
      </c>
      <c r="N106" s="1" t="s">
        <v>189</v>
      </c>
      <c r="O106" s="1" t="s">
        <v>32</v>
      </c>
      <c r="P106" s="26"/>
      <c r="Q106" s="1" t="s">
        <v>105</v>
      </c>
      <c r="R106" s="1" t="s">
        <v>185</v>
      </c>
      <c r="S106" s="1" t="s">
        <v>200</v>
      </c>
      <c r="T106" s="1" t="s">
        <v>201</v>
      </c>
      <c r="U106" s="1" t="s">
        <v>202</v>
      </c>
    </row>
    <row r="107" spans="1:21" ht="26.25" x14ac:dyDescent="0.25">
      <c r="A107" s="3" t="s">
        <v>1022</v>
      </c>
      <c r="B107" s="2" t="s">
        <v>1023</v>
      </c>
      <c r="C107" s="13"/>
      <c r="D107" s="14"/>
      <c r="E107" s="13"/>
      <c r="F107" s="13"/>
      <c r="G107" s="13" t="s">
        <v>1391</v>
      </c>
      <c r="H107" s="13"/>
      <c r="I107" s="13"/>
      <c r="J107" s="13" t="s">
        <v>1474</v>
      </c>
      <c r="K107" s="6" t="s">
        <v>1021</v>
      </c>
      <c r="L107" s="25" t="s">
        <v>62</v>
      </c>
      <c r="M107" s="1" t="s">
        <v>914</v>
      </c>
      <c r="N107" s="1" t="s">
        <v>189</v>
      </c>
      <c r="O107" s="1" t="s">
        <v>32</v>
      </c>
      <c r="P107" s="26"/>
      <c r="Q107" s="1" t="s">
        <v>105</v>
      </c>
      <c r="R107" s="1" t="s">
        <v>185</v>
      </c>
      <c r="S107" s="1" t="s">
        <v>200</v>
      </c>
      <c r="T107" s="1" t="s">
        <v>492</v>
      </c>
      <c r="U107" s="1" t="s">
        <v>493</v>
      </c>
    </row>
    <row r="108" spans="1:21" ht="51.75" x14ac:dyDescent="0.25">
      <c r="A108" s="3" t="s">
        <v>637</v>
      </c>
      <c r="B108" s="2" t="s">
        <v>638</v>
      </c>
      <c r="C108" s="13"/>
      <c r="D108" s="14" t="s">
        <v>1367</v>
      </c>
      <c r="E108" s="13" t="s">
        <v>1393</v>
      </c>
      <c r="F108" s="13"/>
      <c r="G108" s="13"/>
      <c r="H108" s="13"/>
      <c r="I108" s="13"/>
      <c r="J108" s="13" t="s">
        <v>1476</v>
      </c>
      <c r="K108" s="6" t="str">
        <f>HYPERLINK("http://explorer.natureserve.org/servlet/NatureServe?searchSpeciesUid=ELEMENT_GLOBAL.2.102228")</f>
        <v>http://explorer.natureserve.org/servlet/NatureServe?searchSpeciesUid=ELEMENT_GLOBAL.2.102228</v>
      </c>
      <c r="L108" s="25" t="s">
        <v>89</v>
      </c>
      <c r="M108" s="1" t="s">
        <v>915</v>
      </c>
      <c r="N108" s="1" t="s">
        <v>59</v>
      </c>
      <c r="O108" s="1" t="s">
        <v>32</v>
      </c>
      <c r="P108" s="26"/>
      <c r="Q108" s="1" t="s">
        <v>7</v>
      </c>
      <c r="R108" s="1" t="s">
        <v>55</v>
      </c>
      <c r="S108" s="1" t="s">
        <v>56</v>
      </c>
      <c r="T108" s="1" t="s">
        <v>57</v>
      </c>
      <c r="U108" s="1" t="s">
        <v>58</v>
      </c>
    </row>
    <row r="109" spans="1:21" ht="26.25" x14ac:dyDescent="0.25">
      <c r="A109" s="3" t="s">
        <v>1025</v>
      </c>
      <c r="B109" s="2" t="s">
        <v>1026</v>
      </c>
      <c r="C109" s="13" t="s">
        <v>1376</v>
      </c>
      <c r="D109" s="14"/>
      <c r="E109" s="13"/>
      <c r="F109" s="13"/>
      <c r="G109" s="13"/>
      <c r="H109" s="13"/>
      <c r="I109" s="13"/>
      <c r="J109" s="13" t="s">
        <v>1471</v>
      </c>
      <c r="K109" s="6" t="s">
        <v>1024</v>
      </c>
      <c r="L109" s="25" t="s">
        <v>62</v>
      </c>
      <c r="M109" s="1" t="s">
        <v>914</v>
      </c>
      <c r="N109" s="1" t="s">
        <v>189</v>
      </c>
      <c r="O109" s="1" t="s">
        <v>32</v>
      </c>
      <c r="P109" s="26"/>
      <c r="Q109" s="1" t="s">
        <v>105</v>
      </c>
      <c r="R109" s="1" t="s">
        <v>185</v>
      </c>
      <c r="S109" s="1" t="s">
        <v>200</v>
      </c>
      <c r="T109" s="1" t="s">
        <v>918</v>
      </c>
      <c r="U109" s="1" t="s">
        <v>919</v>
      </c>
    </row>
    <row r="110" spans="1:21" ht="26.25" x14ac:dyDescent="0.25">
      <c r="A110" s="3" t="s">
        <v>190</v>
      </c>
      <c r="B110" s="2" t="s">
        <v>191</v>
      </c>
      <c r="C110" s="13"/>
      <c r="D110" s="14"/>
      <c r="E110" s="13" t="s">
        <v>1393</v>
      </c>
      <c r="F110" s="13" t="s">
        <v>1395</v>
      </c>
      <c r="G110" s="13"/>
      <c r="H110" s="13"/>
      <c r="I110" s="13"/>
      <c r="J110" s="13" t="s">
        <v>1477</v>
      </c>
      <c r="K110" s="6" t="s">
        <v>1027</v>
      </c>
      <c r="L110" s="25" t="s">
        <v>192</v>
      </c>
      <c r="M110" s="1" t="s">
        <v>914</v>
      </c>
      <c r="N110" s="1" t="s">
        <v>189</v>
      </c>
      <c r="O110" s="1" t="s">
        <v>32</v>
      </c>
      <c r="P110" s="26"/>
      <c r="Q110" s="1" t="s">
        <v>105</v>
      </c>
      <c r="R110" s="1" t="s">
        <v>185</v>
      </c>
      <c r="S110" s="1" t="s">
        <v>186</v>
      </c>
      <c r="T110" s="1" t="s">
        <v>187</v>
      </c>
      <c r="U110" s="1" t="s">
        <v>188</v>
      </c>
    </row>
    <row r="111" spans="1:21" ht="26.25" x14ac:dyDescent="0.25">
      <c r="A111" s="3" t="s">
        <v>834</v>
      </c>
      <c r="B111" s="2" t="s">
        <v>835</v>
      </c>
      <c r="C111" s="13" t="s">
        <v>1412</v>
      </c>
      <c r="D111" s="14" t="s">
        <v>1388</v>
      </c>
      <c r="E111" s="13" t="s">
        <v>1393</v>
      </c>
      <c r="F111" s="13" t="s">
        <v>1412</v>
      </c>
      <c r="G111" s="13" t="s">
        <v>1412</v>
      </c>
      <c r="H111" s="13" t="s">
        <v>1412</v>
      </c>
      <c r="I111" s="13" t="s">
        <v>1412</v>
      </c>
      <c r="J111" s="13" t="s">
        <v>1477</v>
      </c>
      <c r="K111" s="6" t="str">
        <f>HYPERLINK("http://explorer.natureserve.org/servlet/NatureServe?searchSpeciesUid=ELEMENT_GLOBAL.2.114245")</f>
        <v>http://explorer.natureserve.org/servlet/NatureServe?searchSpeciesUid=ELEMENT_GLOBAL.2.114245</v>
      </c>
      <c r="L111" s="25" t="s">
        <v>89</v>
      </c>
      <c r="M111" s="1" t="s">
        <v>922</v>
      </c>
      <c r="N111" s="1" t="s">
        <v>12</v>
      </c>
      <c r="O111" s="1" t="s">
        <v>32</v>
      </c>
      <c r="P111" s="26"/>
      <c r="Q111" s="1" t="s">
        <v>7</v>
      </c>
      <c r="R111" s="1" t="s">
        <v>8</v>
      </c>
      <c r="S111" s="1" t="s">
        <v>9</v>
      </c>
      <c r="T111" s="1" t="s">
        <v>207</v>
      </c>
      <c r="U111" s="1" t="s">
        <v>833</v>
      </c>
    </row>
    <row r="112" spans="1:21" ht="26.25" x14ac:dyDescent="0.25">
      <c r="A112" s="3" t="s">
        <v>320</v>
      </c>
      <c r="B112" s="2" t="s">
        <v>321</v>
      </c>
      <c r="C112" s="13"/>
      <c r="D112" s="14" t="s">
        <v>1367</v>
      </c>
      <c r="E112" s="13"/>
      <c r="F112" s="13"/>
      <c r="G112" s="13"/>
      <c r="H112" s="13"/>
      <c r="I112" s="13"/>
      <c r="J112" s="13" t="s">
        <v>1474</v>
      </c>
      <c r="K112" s="6" t="str">
        <f>HYPERLINK("http://explorer.natureserve.org/servlet/NatureServe?searchSpeciesUid=ELEMENT_GLOBAL.2.104933")</f>
        <v>http://explorer.natureserve.org/servlet/NatureServe?searchSpeciesUid=ELEMENT_GLOBAL.2.104933</v>
      </c>
      <c r="L112" s="25" t="s">
        <v>62</v>
      </c>
      <c r="M112" s="1" t="s">
        <v>915</v>
      </c>
      <c r="N112" s="1" t="s">
        <v>86</v>
      </c>
      <c r="O112" s="1" t="s">
        <v>68</v>
      </c>
      <c r="P112" s="26"/>
      <c r="Q112" s="1" t="s">
        <v>7</v>
      </c>
      <c r="R112" s="1" t="s">
        <v>55</v>
      </c>
      <c r="S112" s="1" t="s">
        <v>83</v>
      </c>
      <c r="T112" s="1" t="s">
        <v>272</v>
      </c>
      <c r="U112" s="1" t="s">
        <v>273</v>
      </c>
    </row>
    <row r="113" spans="1:21" ht="26.25" x14ac:dyDescent="0.25">
      <c r="A113" s="3" t="s">
        <v>534</v>
      </c>
      <c r="B113" s="2" t="s">
        <v>535</v>
      </c>
      <c r="C113" s="13"/>
      <c r="D113" s="14" t="s">
        <v>1367</v>
      </c>
      <c r="E113" s="13"/>
      <c r="F113" s="13"/>
      <c r="G113" s="13"/>
      <c r="H113" s="13"/>
      <c r="I113" s="13"/>
      <c r="J113" s="13" t="s">
        <v>1474</v>
      </c>
      <c r="K113" s="6" t="str">
        <f>HYPERLINK("http://explorer.natureserve.org/servlet/NatureServe?searchSpeciesUid=ELEMENT_GLOBAL.2.105498")</f>
        <v>http://explorer.natureserve.org/servlet/NatureServe?searchSpeciesUid=ELEMENT_GLOBAL.2.105498</v>
      </c>
      <c r="L113" s="25" t="s">
        <v>62</v>
      </c>
      <c r="M113" s="1" t="s">
        <v>915</v>
      </c>
      <c r="N113" s="1" t="s">
        <v>86</v>
      </c>
      <c r="O113" s="1" t="s">
        <v>68</v>
      </c>
      <c r="P113" s="26"/>
      <c r="Q113" s="1" t="s">
        <v>7</v>
      </c>
      <c r="R113" s="1" t="s">
        <v>55</v>
      </c>
      <c r="S113" s="1" t="s">
        <v>83</v>
      </c>
      <c r="T113" s="1" t="s">
        <v>272</v>
      </c>
      <c r="U113" s="1" t="s">
        <v>273</v>
      </c>
    </row>
    <row r="114" spans="1:21" ht="39" x14ac:dyDescent="0.25">
      <c r="A114" s="4" t="s">
        <v>277</v>
      </c>
      <c r="B114" s="2" t="s">
        <v>278</v>
      </c>
      <c r="C114" s="13" t="s">
        <v>1397</v>
      </c>
      <c r="D114" s="14" t="s">
        <v>1028</v>
      </c>
      <c r="E114" s="13" t="s">
        <v>1413</v>
      </c>
      <c r="F114" s="13" t="s">
        <v>1402</v>
      </c>
      <c r="G114" s="13"/>
      <c r="H114" s="13"/>
      <c r="I114" s="13"/>
      <c r="J114" s="13" t="s">
        <v>1475</v>
      </c>
      <c r="K114" s="6" t="str">
        <f>HYPERLINK("http://explorer.natureserve.org/servlet/NatureServe?searchSpeciesUid=ELEMENT_GLOBAL.2.136853")</f>
        <v>http://explorer.natureserve.org/servlet/NatureServe?searchSpeciesUid=ELEMENT_GLOBAL.2.136853</v>
      </c>
      <c r="L114" s="25" t="s">
        <v>62</v>
      </c>
      <c r="M114" s="1" t="s">
        <v>914</v>
      </c>
      <c r="N114" s="1" t="s">
        <v>189</v>
      </c>
      <c r="O114" s="1" t="s">
        <v>32</v>
      </c>
      <c r="P114" s="26"/>
      <c r="Q114" s="1" t="s">
        <v>105</v>
      </c>
      <c r="R114" s="1" t="s">
        <v>185</v>
      </c>
      <c r="S114" s="1" t="s">
        <v>200</v>
      </c>
      <c r="T114" s="1" t="s">
        <v>224</v>
      </c>
      <c r="U114" s="1" t="s">
        <v>276</v>
      </c>
    </row>
    <row r="115" spans="1:21" ht="26.25" x14ac:dyDescent="0.25">
      <c r="A115" s="3" t="s">
        <v>866</v>
      </c>
      <c r="B115" s="2" t="s">
        <v>867</v>
      </c>
      <c r="C115" s="13"/>
      <c r="D115" s="14"/>
      <c r="E115" s="13" t="s">
        <v>1386</v>
      </c>
      <c r="F115" s="13" t="s">
        <v>1387</v>
      </c>
      <c r="G115" s="13"/>
      <c r="H115" s="13"/>
      <c r="I115" s="13"/>
      <c r="J115" s="13" t="s">
        <v>1471</v>
      </c>
      <c r="K115" s="6" t="s">
        <v>1029</v>
      </c>
      <c r="L115" s="25" t="s">
        <v>868</v>
      </c>
      <c r="M115" s="1" t="s">
        <v>915</v>
      </c>
      <c r="N115" s="1" t="s">
        <v>79</v>
      </c>
      <c r="O115" s="1" t="s">
        <v>32</v>
      </c>
      <c r="P115" s="26"/>
      <c r="Q115" s="1" t="s">
        <v>7</v>
      </c>
      <c r="R115" s="1" t="s">
        <v>55</v>
      </c>
      <c r="S115" s="1" t="s">
        <v>76</v>
      </c>
      <c r="T115" s="1" t="s">
        <v>498</v>
      </c>
      <c r="U115" s="1" t="s">
        <v>499</v>
      </c>
    </row>
    <row r="116" spans="1:21" ht="39" x14ac:dyDescent="0.25">
      <c r="A116" s="3" t="s">
        <v>758</v>
      </c>
      <c r="B116" s="2" t="s">
        <v>759</v>
      </c>
      <c r="C116" s="13" t="s">
        <v>1414</v>
      </c>
      <c r="D116" s="14" t="s">
        <v>1384</v>
      </c>
      <c r="E116" s="13" t="s">
        <v>1379</v>
      </c>
      <c r="F116" s="13" t="s">
        <v>1414</v>
      </c>
      <c r="G116" s="13" t="s">
        <v>1414</v>
      </c>
      <c r="H116" s="13" t="s">
        <v>1414</v>
      </c>
      <c r="I116" s="13"/>
      <c r="J116" s="13" t="s">
        <v>1472</v>
      </c>
      <c r="K116" s="6" t="str">
        <f>HYPERLINK("http://explorer.natureserve.org/servlet/NatureServe?searchSpeciesUid=ELEMENT_GLOBAL.2.101449")</f>
        <v>http://explorer.natureserve.org/servlet/NatureServe?searchSpeciesUid=ELEMENT_GLOBAL.2.101449</v>
      </c>
      <c r="L116" s="25" t="s">
        <v>62</v>
      </c>
      <c r="M116" s="1" t="s">
        <v>915</v>
      </c>
      <c r="N116" s="1" t="s">
        <v>86</v>
      </c>
      <c r="O116" s="1" t="s">
        <v>68</v>
      </c>
      <c r="P116" s="26"/>
      <c r="Q116" s="1" t="s">
        <v>7</v>
      </c>
      <c r="R116" s="1" t="s">
        <v>55</v>
      </c>
      <c r="S116" s="1" t="s">
        <v>83</v>
      </c>
      <c r="T116" s="1" t="s">
        <v>233</v>
      </c>
      <c r="U116" s="1" t="s">
        <v>234</v>
      </c>
    </row>
    <row r="117" spans="1:21" ht="26.25" x14ac:dyDescent="0.25">
      <c r="A117" s="2" t="s">
        <v>1316</v>
      </c>
      <c r="B117" s="2" t="s">
        <v>308</v>
      </c>
      <c r="C117" s="13"/>
      <c r="D117" s="14"/>
      <c r="E117" s="13" t="s">
        <v>1379</v>
      </c>
      <c r="F117" s="13"/>
      <c r="G117" s="13"/>
      <c r="H117" s="13"/>
      <c r="I117" s="13"/>
      <c r="J117" s="29" t="s">
        <v>1470</v>
      </c>
      <c r="K117" s="6" t="s">
        <v>1030</v>
      </c>
      <c r="L117" s="25" t="s">
        <v>309</v>
      </c>
      <c r="M117" s="1" t="s">
        <v>915</v>
      </c>
      <c r="N117" s="1" t="s">
        <v>86</v>
      </c>
      <c r="O117" s="1" t="s">
        <v>68</v>
      </c>
      <c r="P117" s="26"/>
      <c r="Q117" s="1" t="s">
        <v>7</v>
      </c>
      <c r="R117" s="1" t="s">
        <v>55</v>
      </c>
      <c r="S117" s="1" t="s">
        <v>83</v>
      </c>
      <c r="T117" s="1" t="s">
        <v>233</v>
      </c>
      <c r="U117" s="1" t="s">
        <v>234</v>
      </c>
    </row>
    <row r="118" spans="1:21" ht="26.25" x14ac:dyDescent="0.25">
      <c r="A118" s="3" t="s">
        <v>519</v>
      </c>
      <c r="B118" s="2" t="s">
        <v>520</v>
      </c>
      <c r="C118" s="13"/>
      <c r="D118" s="14"/>
      <c r="E118" s="13" t="s">
        <v>1386</v>
      </c>
      <c r="F118" s="13" t="s">
        <v>1387</v>
      </c>
      <c r="G118" s="13"/>
      <c r="H118" s="13"/>
      <c r="I118" s="13"/>
      <c r="J118" s="13" t="s">
        <v>1471</v>
      </c>
      <c r="K118" s="6" t="s">
        <v>1031</v>
      </c>
      <c r="L118" s="25" t="s">
        <v>62</v>
      </c>
      <c r="M118" s="1" t="s">
        <v>915</v>
      </c>
      <c r="N118" s="1" t="s">
        <v>86</v>
      </c>
      <c r="O118" s="1" t="s">
        <v>68</v>
      </c>
      <c r="P118" s="26"/>
      <c r="Q118" s="1" t="s">
        <v>7</v>
      </c>
      <c r="R118" s="1" t="s">
        <v>55</v>
      </c>
      <c r="S118" s="1" t="s">
        <v>83</v>
      </c>
      <c r="T118" s="1" t="s">
        <v>233</v>
      </c>
      <c r="U118" s="1" t="s">
        <v>234</v>
      </c>
    </row>
    <row r="119" spans="1:21" ht="26.25" x14ac:dyDescent="0.25">
      <c r="A119" s="2" t="s">
        <v>1317</v>
      </c>
      <c r="B119" s="2" t="s">
        <v>235</v>
      </c>
      <c r="C119" s="13"/>
      <c r="D119" s="14"/>
      <c r="E119" s="13" t="s">
        <v>1379</v>
      </c>
      <c r="F119" s="13"/>
      <c r="G119" s="13"/>
      <c r="H119" s="13"/>
      <c r="I119" s="13"/>
      <c r="J119" s="29" t="s">
        <v>1470</v>
      </c>
      <c r="K119" s="6" t="s">
        <v>1032</v>
      </c>
      <c r="L119" s="25" t="s">
        <v>116</v>
      </c>
      <c r="M119" s="1" t="s">
        <v>915</v>
      </c>
      <c r="N119" s="1" t="s">
        <v>86</v>
      </c>
      <c r="O119" s="1" t="s">
        <v>68</v>
      </c>
      <c r="P119" s="26"/>
      <c r="Q119" s="1" t="s">
        <v>7</v>
      </c>
      <c r="R119" s="1" t="s">
        <v>55</v>
      </c>
      <c r="S119" s="1" t="s">
        <v>83</v>
      </c>
      <c r="T119" s="1" t="s">
        <v>233</v>
      </c>
      <c r="U119" s="1" t="s">
        <v>234</v>
      </c>
    </row>
    <row r="120" spans="1:21" ht="26.25" x14ac:dyDescent="0.25">
      <c r="A120" s="2" t="s">
        <v>1318</v>
      </c>
      <c r="B120" s="2" t="s">
        <v>115</v>
      </c>
      <c r="C120" s="13"/>
      <c r="D120" s="14"/>
      <c r="E120" s="13" t="s">
        <v>1393</v>
      </c>
      <c r="F120" s="13"/>
      <c r="G120" s="13"/>
      <c r="H120" s="13"/>
      <c r="I120" s="13"/>
      <c r="J120" s="13" t="s">
        <v>1477</v>
      </c>
      <c r="K120" s="6" t="s">
        <v>1033</v>
      </c>
      <c r="L120" s="25" t="s">
        <v>116</v>
      </c>
      <c r="M120" s="1" t="s">
        <v>922</v>
      </c>
      <c r="N120" s="1" t="s">
        <v>21</v>
      </c>
      <c r="O120" s="1" t="s">
        <v>13</v>
      </c>
      <c r="P120" s="26"/>
      <c r="Q120" s="1" t="s">
        <v>7</v>
      </c>
      <c r="R120" s="1" t="s">
        <v>112</v>
      </c>
      <c r="S120" s="1" t="s">
        <v>71</v>
      </c>
      <c r="T120" s="1" t="s">
        <v>113</v>
      </c>
      <c r="U120" s="1" t="s">
        <v>114</v>
      </c>
    </row>
    <row r="121" spans="1:21" ht="26.25" x14ac:dyDescent="0.25">
      <c r="A121" s="3" t="s">
        <v>836</v>
      </c>
      <c r="B121" s="2" t="s">
        <v>837</v>
      </c>
      <c r="C121" s="13" t="s">
        <v>1403</v>
      </c>
      <c r="D121" s="14" t="s">
        <v>1388</v>
      </c>
      <c r="E121" s="13" t="s">
        <v>1415</v>
      </c>
      <c r="F121" s="13" t="s">
        <v>1415</v>
      </c>
      <c r="G121" s="13" t="s">
        <v>1415</v>
      </c>
      <c r="H121" s="13" t="s">
        <v>1415</v>
      </c>
      <c r="I121" s="13" t="s">
        <v>1415</v>
      </c>
      <c r="J121" s="13" t="s">
        <v>1477</v>
      </c>
      <c r="K121" s="6" t="str">
        <f>HYPERLINK("http://explorer.natureserve.org/servlet/NatureServe?searchSpeciesUid=ELEMENT_GLOBAL.2.100455")</f>
        <v>http://explorer.natureserve.org/servlet/NatureServe?searchSpeciesUid=ELEMENT_GLOBAL.2.100455</v>
      </c>
      <c r="L121" s="25" t="s">
        <v>89</v>
      </c>
      <c r="M121" s="1" t="s">
        <v>915</v>
      </c>
      <c r="N121" s="1" t="s">
        <v>171</v>
      </c>
      <c r="O121" s="1" t="s">
        <v>32</v>
      </c>
      <c r="P121" s="26"/>
      <c r="Q121" s="1" t="s">
        <v>7</v>
      </c>
      <c r="R121" s="1" t="s">
        <v>55</v>
      </c>
      <c r="S121" s="1" t="s">
        <v>326</v>
      </c>
      <c r="T121" s="1" t="s">
        <v>327</v>
      </c>
      <c r="U121" s="1" t="s">
        <v>390</v>
      </c>
    </row>
    <row r="122" spans="1:21" ht="26.25" x14ac:dyDescent="0.25">
      <c r="A122" s="3" t="s">
        <v>385</v>
      </c>
      <c r="B122" s="2" t="s">
        <v>386</v>
      </c>
      <c r="C122" s="13" t="s">
        <v>1365</v>
      </c>
      <c r="D122" s="14" t="s">
        <v>1366</v>
      </c>
      <c r="E122" s="13" t="s">
        <v>1416</v>
      </c>
      <c r="F122" s="13" t="s">
        <v>1416</v>
      </c>
      <c r="G122" s="13"/>
      <c r="H122" s="13" t="s">
        <v>1416</v>
      </c>
      <c r="I122" s="13" t="s">
        <v>1416</v>
      </c>
      <c r="J122" s="29" t="s">
        <v>1470</v>
      </c>
      <c r="K122" s="6" t="str">
        <f>HYPERLINK("http://explorer.natureserve.org/servlet/NatureServe?searchSpeciesUid=ELEMENT_GLOBAL.2.105670")</f>
        <v>http://explorer.natureserve.org/servlet/NatureServe?searchSpeciesUid=ELEMENT_GLOBAL.2.105670</v>
      </c>
      <c r="L122" s="25" t="s">
        <v>82</v>
      </c>
      <c r="M122" s="1" t="s">
        <v>915</v>
      </c>
      <c r="N122" s="1" t="s">
        <v>171</v>
      </c>
      <c r="O122" s="1" t="s">
        <v>68</v>
      </c>
      <c r="P122" s="26"/>
      <c r="Q122" s="1" t="s">
        <v>7</v>
      </c>
      <c r="R122" s="1" t="s">
        <v>55</v>
      </c>
      <c r="S122" s="1" t="s">
        <v>168</v>
      </c>
      <c r="T122" s="1" t="s">
        <v>304</v>
      </c>
      <c r="U122" s="1" t="s">
        <v>384</v>
      </c>
    </row>
    <row r="123" spans="1:21" ht="26.25" x14ac:dyDescent="0.25">
      <c r="A123" s="3" t="s">
        <v>854</v>
      </c>
      <c r="B123" s="2" t="s">
        <v>855</v>
      </c>
      <c r="C123" s="13" t="s">
        <v>176</v>
      </c>
      <c r="D123" s="14"/>
      <c r="E123" s="13"/>
      <c r="F123" s="13"/>
      <c r="G123" s="13"/>
      <c r="H123" s="13"/>
      <c r="I123" s="13"/>
      <c r="J123" s="13" t="s">
        <v>1473</v>
      </c>
      <c r="K123" s="6" t="s">
        <v>1034</v>
      </c>
      <c r="L123" s="25" t="s">
        <v>62</v>
      </c>
      <c r="M123" s="1" t="s">
        <v>915</v>
      </c>
      <c r="N123" s="1" t="s">
        <v>59</v>
      </c>
      <c r="O123" s="1" t="s">
        <v>32</v>
      </c>
      <c r="P123" s="26"/>
      <c r="Q123" s="1" t="s">
        <v>7</v>
      </c>
      <c r="R123" s="1" t="s">
        <v>55</v>
      </c>
      <c r="S123" s="1" t="s">
        <v>56</v>
      </c>
      <c r="T123" s="1" t="s">
        <v>852</v>
      </c>
      <c r="U123" s="1" t="s">
        <v>853</v>
      </c>
    </row>
    <row r="124" spans="1:21" ht="26.25" x14ac:dyDescent="0.25">
      <c r="A124" s="7" t="s">
        <v>1036</v>
      </c>
      <c r="B124" s="8" t="s">
        <v>1037</v>
      </c>
      <c r="C124" s="13" t="s">
        <v>1368</v>
      </c>
      <c r="D124" s="14"/>
      <c r="E124" s="13" t="s">
        <v>1368</v>
      </c>
      <c r="F124" s="13" t="s">
        <v>1368</v>
      </c>
      <c r="G124" s="13"/>
      <c r="H124" s="13" t="s">
        <v>1368</v>
      </c>
      <c r="I124" s="13"/>
      <c r="J124" s="13" t="s">
        <v>1474</v>
      </c>
      <c r="K124" s="6" t="s">
        <v>1035</v>
      </c>
      <c r="L124" s="25" t="s">
        <v>89</v>
      </c>
      <c r="M124" s="1" t="s">
        <v>914</v>
      </c>
      <c r="N124" s="1" t="s">
        <v>257</v>
      </c>
      <c r="O124" s="1" t="s">
        <v>32</v>
      </c>
      <c r="P124" s="26" t="s">
        <v>53</v>
      </c>
      <c r="Q124" s="1" t="s">
        <v>105</v>
      </c>
      <c r="R124" s="1" t="s">
        <v>185</v>
      </c>
      <c r="S124" s="1" t="s">
        <v>186</v>
      </c>
      <c r="T124" s="1" t="s">
        <v>255</v>
      </c>
      <c r="U124" s="1" t="s">
        <v>256</v>
      </c>
    </row>
    <row r="125" spans="1:21" ht="26.25" x14ac:dyDescent="0.25">
      <c r="A125" s="3" t="s">
        <v>1039</v>
      </c>
      <c r="B125" s="2" t="s">
        <v>1040</v>
      </c>
      <c r="C125" s="13"/>
      <c r="D125" s="14"/>
      <c r="E125" s="13"/>
      <c r="F125" s="13"/>
      <c r="G125" s="13" t="s">
        <v>1380</v>
      </c>
      <c r="H125" s="13"/>
      <c r="I125" s="13"/>
      <c r="J125" s="13" t="s">
        <v>1477</v>
      </c>
      <c r="K125" s="6" t="s">
        <v>1038</v>
      </c>
      <c r="L125" s="25" t="s">
        <v>89</v>
      </c>
      <c r="M125" s="1" t="s">
        <v>914</v>
      </c>
      <c r="N125" s="1" t="s">
        <v>189</v>
      </c>
      <c r="O125" s="1" t="s">
        <v>32</v>
      </c>
      <c r="P125" s="26"/>
      <c r="Q125" s="1" t="s">
        <v>105</v>
      </c>
      <c r="R125" s="1" t="s">
        <v>185</v>
      </c>
      <c r="S125" s="1" t="s">
        <v>186</v>
      </c>
      <c r="T125" s="1" t="s">
        <v>187</v>
      </c>
      <c r="U125" s="1" t="s">
        <v>188</v>
      </c>
    </row>
    <row r="126" spans="1:21" ht="26.25" x14ac:dyDescent="0.25">
      <c r="A126" s="3" t="s">
        <v>1042</v>
      </c>
      <c r="B126" s="2" t="s">
        <v>1043</v>
      </c>
      <c r="C126" s="13"/>
      <c r="D126" s="14"/>
      <c r="E126" s="13"/>
      <c r="F126" s="13"/>
      <c r="G126" s="13" t="s">
        <v>1391</v>
      </c>
      <c r="H126" s="13"/>
      <c r="I126" s="13"/>
      <c r="J126" s="13" t="s">
        <v>1474</v>
      </c>
      <c r="K126" s="6" t="s">
        <v>1041</v>
      </c>
      <c r="L126" s="25" t="s">
        <v>89</v>
      </c>
      <c r="M126" s="1" t="s">
        <v>914</v>
      </c>
      <c r="N126" s="1" t="s">
        <v>189</v>
      </c>
      <c r="O126" s="1" t="s">
        <v>32</v>
      </c>
      <c r="P126" s="26"/>
      <c r="Q126" s="1" t="s">
        <v>105</v>
      </c>
      <c r="R126" s="1" t="s">
        <v>185</v>
      </c>
      <c r="S126" s="1" t="s">
        <v>186</v>
      </c>
      <c r="T126" s="1" t="s">
        <v>187</v>
      </c>
      <c r="U126" s="1" t="s">
        <v>188</v>
      </c>
    </row>
    <row r="127" spans="1:21" ht="26.25" x14ac:dyDescent="0.25">
      <c r="A127" s="3" t="s">
        <v>423</v>
      </c>
      <c r="B127" s="2" t="s">
        <v>424</v>
      </c>
      <c r="C127" s="13"/>
      <c r="D127" s="14"/>
      <c r="E127" s="13" t="s">
        <v>1372</v>
      </c>
      <c r="F127" s="13" t="s">
        <v>151</v>
      </c>
      <c r="G127" s="13"/>
      <c r="H127" s="13"/>
      <c r="I127" s="13"/>
      <c r="J127" s="13" t="s">
        <v>1474</v>
      </c>
      <c r="K127" s="6" t="s">
        <v>1044</v>
      </c>
      <c r="L127" s="25" t="s">
        <v>127</v>
      </c>
      <c r="M127" s="1" t="s">
        <v>922</v>
      </c>
      <c r="N127" s="1" t="s">
        <v>67</v>
      </c>
      <c r="O127" s="1" t="s">
        <v>68</v>
      </c>
      <c r="P127" s="26"/>
      <c r="Q127" s="1" t="s">
        <v>7</v>
      </c>
      <c r="R127" s="1" t="s">
        <v>63</v>
      </c>
      <c r="S127" s="1" t="s">
        <v>64</v>
      </c>
      <c r="T127" s="1" t="s">
        <v>65</v>
      </c>
      <c r="U127" s="1" t="s">
        <v>66</v>
      </c>
    </row>
    <row r="128" spans="1:21" ht="26.25" x14ac:dyDescent="0.25">
      <c r="A128" s="3" t="s">
        <v>1045</v>
      </c>
      <c r="B128" s="2" t="s">
        <v>356</v>
      </c>
      <c r="C128" s="13" t="s">
        <v>1365</v>
      </c>
      <c r="D128" s="14" t="s">
        <v>1392</v>
      </c>
      <c r="E128" s="14" t="s">
        <v>1392</v>
      </c>
      <c r="F128" s="13"/>
      <c r="G128" s="13"/>
      <c r="H128" s="13" t="s">
        <v>163</v>
      </c>
      <c r="I128" s="13"/>
      <c r="J128" s="29" t="s">
        <v>1470</v>
      </c>
      <c r="K128" s="6" t="str">
        <f>HYPERLINK("http://explorer.natureserve.org/servlet/NatureServe?searchSpeciesUid=ELEMENT_GLOBAL.2.141432")</f>
        <v>http://explorer.natureserve.org/servlet/NatureServe?searchSpeciesUid=ELEMENT_GLOBAL.2.141432</v>
      </c>
      <c r="L128" s="25" t="s">
        <v>62</v>
      </c>
      <c r="M128" s="1" t="s">
        <v>914</v>
      </c>
      <c r="N128" s="1" t="s">
        <v>189</v>
      </c>
      <c r="O128" s="1" t="s">
        <v>32</v>
      </c>
      <c r="P128" s="26"/>
      <c r="Q128" s="1" t="s">
        <v>105</v>
      </c>
      <c r="R128" s="1" t="s">
        <v>185</v>
      </c>
      <c r="S128" s="1" t="s">
        <v>200</v>
      </c>
      <c r="T128" s="1" t="s">
        <v>201</v>
      </c>
      <c r="U128" s="1" t="s">
        <v>202</v>
      </c>
    </row>
    <row r="129" spans="1:21" ht="39" x14ac:dyDescent="0.25">
      <c r="A129" s="3" t="s">
        <v>1046</v>
      </c>
      <c r="B129" s="2" t="s">
        <v>303</v>
      </c>
      <c r="C129" s="13" t="s">
        <v>1403</v>
      </c>
      <c r="D129" s="14" t="s">
        <v>1417</v>
      </c>
      <c r="E129" s="13" t="s">
        <v>1383</v>
      </c>
      <c r="F129" s="14" t="s">
        <v>1417</v>
      </c>
      <c r="G129" s="14" t="s">
        <v>1417</v>
      </c>
      <c r="H129" s="14" t="s">
        <v>1417</v>
      </c>
      <c r="I129" s="14" t="s">
        <v>1417</v>
      </c>
      <c r="J129" s="13" t="s">
        <v>1479</v>
      </c>
      <c r="K129" s="6" t="str">
        <f>HYPERLINK("http://explorer.natureserve.org/servlet/NatureServe?searchSpeciesUid=ELEMENT_GLOBAL.2.101759")</f>
        <v>http://explorer.natureserve.org/servlet/NatureServe?searchSpeciesUid=ELEMENT_GLOBAL.2.101759</v>
      </c>
      <c r="L129" s="25" t="s">
        <v>89</v>
      </c>
      <c r="M129" s="1" t="s">
        <v>915</v>
      </c>
      <c r="N129" s="1" t="s">
        <v>59</v>
      </c>
      <c r="O129" s="1" t="s">
        <v>32</v>
      </c>
      <c r="P129" s="26"/>
      <c r="Q129" s="1" t="s">
        <v>7</v>
      </c>
      <c r="R129" s="1" t="s">
        <v>55</v>
      </c>
      <c r="S129" s="1" t="s">
        <v>56</v>
      </c>
      <c r="T129" s="1" t="s">
        <v>57</v>
      </c>
      <c r="U129" s="1" t="s">
        <v>236</v>
      </c>
    </row>
    <row r="130" spans="1:21" ht="51.75" x14ac:dyDescent="0.25">
      <c r="A130" s="3" t="s">
        <v>240</v>
      </c>
      <c r="B130" s="2" t="s">
        <v>241</v>
      </c>
      <c r="C130" s="13" t="s">
        <v>1418</v>
      </c>
      <c r="D130" s="14" t="s">
        <v>1388</v>
      </c>
      <c r="E130" s="13" t="s">
        <v>1372</v>
      </c>
      <c r="F130" s="13" t="s">
        <v>1418</v>
      </c>
      <c r="G130" s="13" t="s">
        <v>1418</v>
      </c>
      <c r="H130" s="13" t="s">
        <v>1418</v>
      </c>
      <c r="I130" s="13" t="s">
        <v>1418</v>
      </c>
      <c r="J130" s="13" t="s">
        <v>1476</v>
      </c>
      <c r="K130" s="6" t="str">
        <f>HYPERLINK("http://explorer.natureserve.org/servlet/NatureServe?searchSpeciesUid=ELEMENT_GLOBAL.2.102736")</f>
        <v>http://explorer.natureserve.org/servlet/NatureServe?searchSpeciesUid=ELEMENT_GLOBAL.2.102736</v>
      </c>
      <c r="L130" s="25" t="s">
        <v>62</v>
      </c>
      <c r="M130" s="1" t="s">
        <v>915</v>
      </c>
      <c r="N130" s="1" t="s">
        <v>59</v>
      </c>
      <c r="O130" s="1" t="s">
        <v>32</v>
      </c>
      <c r="P130" s="26"/>
      <c r="Q130" s="1" t="s">
        <v>7</v>
      </c>
      <c r="R130" s="1" t="s">
        <v>55</v>
      </c>
      <c r="S130" s="1" t="s">
        <v>56</v>
      </c>
      <c r="T130" s="1" t="s">
        <v>57</v>
      </c>
      <c r="U130" s="1" t="s">
        <v>239</v>
      </c>
    </row>
    <row r="131" spans="1:21" ht="26.25" x14ac:dyDescent="0.25">
      <c r="A131" s="7" t="s">
        <v>765</v>
      </c>
      <c r="B131" s="8" t="s">
        <v>1048</v>
      </c>
      <c r="C131" s="13"/>
      <c r="D131" s="14"/>
      <c r="E131" s="13"/>
      <c r="F131" s="13" t="s">
        <v>1402</v>
      </c>
      <c r="G131" s="13"/>
      <c r="H131" s="13"/>
      <c r="I131" s="13"/>
      <c r="J131" s="13" t="s">
        <v>1471</v>
      </c>
      <c r="K131" s="6" t="s">
        <v>1047</v>
      </c>
      <c r="L131" s="25" t="s">
        <v>35</v>
      </c>
      <c r="M131" s="1" t="s">
        <v>914</v>
      </c>
      <c r="N131" s="1" t="s">
        <v>189</v>
      </c>
      <c r="O131" s="1" t="s">
        <v>32</v>
      </c>
      <c r="P131" s="26" t="s">
        <v>54</v>
      </c>
      <c r="Q131" s="1" t="s">
        <v>105</v>
      </c>
      <c r="R131" s="1" t="s">
        <v>185</v>
      </c>
      <c r="S131" s="1" t="s">
        <v>200</v>
      </c>
      <c r="T131" s="1" t="s">
        <v>246</v>
      </c>
      <c r="U131" s="1" t="s">
        <v>247</v>
      </c>
    </row>
    <row r="132" spans="1:21" ht="26.25" x14ac:dyDescent="0.25">
      <c r="A132" s="3" t="s">
        <v>372</v>
      </c>
      <c r="B132" s="2" t="s">
        <v>373</v>
      </c>
      <c r="C132" s="13"/>
      <c r="D132" s="14"/>
      <c r="E132" s="13"/>
      <c r="F132" s="13" t="s">
        <v>1399</v>
      </c>
      <c r="G132" s="13"/>
      <c r="H132" s="13"/>
      <c r="I132" s="13"/>
      <c r="J132" s="13" t="s">
        <v>1474</v>
      </c>
      <c r="K132" s="6" t="s">
        <v>1049</v>
      </c>
      <c r="L132" s="25" t="s">
        <v>374</v>
      </c>
      <c r="M132" s="1" t="s">
        <v>914</v>
      </c>
      <c r="N132" s="1" t="s">
        <v>189</v>
      </c>
      <c r="O132" s="1" t="s">
        <v>32</v>
      </c>
      <c r="P132" s="26"/>
      <c r="Q132" s="1" t="s">
        <v>105</v>
      </c>
      <c r="R132" s="1" t="s">
        <v>185</v>
      </c>
      <c r="S132" s="1" t="s">
        <v>186</v>
      </c>
      <c r="T132" s="1" t="s">
        <v>370</v>
      </c>
      <c r="U132" s="1" t="s">
        <v>371</v>
      </c>
    </row>
    <row r="133" spans="1:21" ht="26.25" x14ac:dyDescent="0.25">
      <c r="A133" s="4" t="s">
        <v>1051</v>
      </c>
      <c r="B133" s="2" t="s">
        <v>1052</v>
      </c>
      <c r="C133" s="13"/>
      <c r="D133" s="14"/>
      <c r="E133" s="13"/>
      <c r="F133" s="13"/>
      <c r="G133" s="13" t="s">
        <v>1391</v>
      </c>
      <c r="H133" s="13"/>
      <c r="I133" s="13"/>
      <c r="J133" s="13" t="s">
        <v>1474</v>
      </c>
      <c r="K133" s="6" t="s">
        <v>1050</v>
      </c>
      <c r="L133" s="25" t="s">
        <v>62</v>
      </c>
      <c r="M133" s="1" t="s">
        <v>914</v>
      </c>
      <c r="N133" s="1" t="s">
        <v>257</v>
      </c>
      <c r="O133" s="1" t="s">
        <v>32</v>
      </c>
      <c r="P133" s="26"/>
      <c r="Q133" s="1" t="s">
        <v>105</v>
      </c>
      <c r="R133" s="1" t="s">
        <v>185</v>
      </c>
      <c r="S133" s="1" t="s">
        <v>186</v>
      </c>
      <c r="T133" s="1" t="s">
        <v>255</v>
      </c>
      <c r="U133" s="1" t="s">
        <v>256</v>
      </c>
    </row>
    <row r="134" spans="1:21" ht="26.25" x14ac:dyDescent="0.25">
      <c r="A134" s="3" t="s">
        <v>785</v>
      </c>
      <c r="B134" s="2" t="s">
        <v>786</v>
      </c>
      <c r="C134" s="13" t="s">
        <v>1387</v>
      </c>
      <c r="D134" s="13" t="s">
        <v>1387</v>
      </c>
      <c r="E134" s="13" t="s">
        <v>1386</v>
      </c>
      <c r="F134" s="13" t="s">
        <v>1387</v>
      </c>
      <c r="G134" s="13"/>
      <c r="H134" s="13"/>
      <c r="I134" s="13" t="s">
        <v>1387</v>
      </c>
      <c r="J134" s="13" t="s">
        <v>1471</v>
      </c>
      <c r="K134" s="6" t="str">
        <f>HYPERLINK("http://explorer.natureserve.org/servlet/NatureServe?searchSpeciesUid=ELEMENT_GLOBAL.2.116035")</f>
        <v>http://explorer.natureserve.org/servlet/NatureServe?searchSpeciesUid=ELEMENT_GLOBAL.2.116035</v>
      </c>
      <c r="L134" s="25" t="s">
        <v>62</v>
      </c>
      <c r="M134" s="1" t="s">
        <v>922</v>
      </c>
      <c r="N134" s="1" t="s">
        <v>67</v>
      </c>
      <c r="O134" s="1" t="s">
        <v>68</v>
      </c>
      <c r="P134" s="26"/>
      <c r="Q134" s="1" t="s">
        <v>7</v>
      </c>
      <c r="R134" s="1" t="s">
        <v>63</v>
      </c>
      <c r="S134" s="1" t="s">
        <v>64</v>
      </c>
      <c r="T134" s="1" t="s">
        <v>65</v>
      </c>
      <c r="U134" s="1" t="s">
        <v>66</v>
      </c>
    </row>
    <row r="135" spans="1:21" ht="26.25" x14ac:dyDescent="0.25">
      <c r="A135" s="3" t="s">
        <v>60</v>
      </c>
      <c r="B135" s="2" t="s">
        <v>61</v>
      </c>
      <c r="C135" s="13" t="s">
        <v>1387</v>
      </c>
      <c r="D135" s="13" t="s">
        <v>1387</v>
      </c>
      <c r="E135" s="13" t="s">
        <v>1386</v>
      </c>
      <c r="F135" s="13" t="s">
        <v>1387</v>
      </c>
      <c r="G135" s="13" t="s">
        <v>1387</v>
      </c>
      <c r="H135" s="13" t="s">
        <v>1387</v>
      </c>
      <c r="I135" s="13" t="s">
        <v>1387</v>
      </c>
      <c r="J135" s="13" t="s">
        <v>1471</v>
      </c>
      <c r="K135" s="6" t="str">
        <f>HYPERLINK("http://explorer.natureserve.org/servlet/NatureServe?searchSpeciesUid=ELEMENT_GLOBAL.2.104821")</f>
        <v>http://explorer.natureserve.org/servlet/NatureServe?searchSpeciesUid=ELEMENT_GLOBAL.2.104821</v>
      </c>
      <c r="L135" s="25" t="s">
        <v>62</v>
      </c>
      <c r="M135" s="1" t="s">
        <v>915</v>
      </c>
      <c r="N135" s="1" t="s">
        <v>59</v>
      </c>
      <c r="O135" s="1" t="s">
        <v>32</v>
      </c>
      <c r="P135" s="26"/>
      <c r="Q135" s="1" t="s">
        <v>7</v>
      </c>
      <c r="R135" s="1" t="s">
        <v>55</v>
      </c>
      <c r="S135" s="1" t="s">
        <v>56</v>
      </c>
      <c r="T135" s="1" t="s">
        <v>57</v>
      </c>
      <c r="U135" s="1" t="s">
        <v>58</v>
      </c>
    </row>
    <row r="136" spans="1:21" ht="26.25" x14ac:dyDescent="0.25">
      <c r="A136" s="3" t="s">
        <v>658</v>
      </c>
      <c r="B136" s="2" t="s">
        <v>659</v>
      </c>
      <c r="C136" s="13"/>
      <c r="D136" s="14" t="s">
        <v>1388</v>
      </c>
      <c r="E136" s="13"/>
      <c r="F136" s="13"/>
      <c r="G136" s="13"/>
      <c r="H136" s="13"/>
      <c r="I136" s="13"/>
      <c r="J136" s="13" t="s">
        <v>1477</v>
      </c>
      <c r="K136" s="6" t="str">
        <f>HYPERLINK("http://explorer.natureserve.org/servlet/NatureServe?searchSpeciesUid=ELEMENT_GLOBAL.2.110345")</f>
        <v>http://explorer.natureserve.org/servlet/NatureServe?searchSpeciesUid=ELEMENT_GLOBAL.2.110345</v>
      </c>
      <c r="L136" s="25" t="s">
        <v>52</v>
      </c>
      <c r="M136" s="1" t="s">
        <v>922</v>
      </c>
      <c r="N136" s="1" t="s">
        <v>12</v>
      </c>
      <c r="O136" s="1" t="s">
        <v>32</v>
      </c>
      <c r="P136" s="26"/>
      <c r="Q136" s="1" t="s">
        <v>7</v>
      </c>
      <c r="R136" s="1" t="s">
        <v>8</v>
      </c>
      <c r="S136" s="1" t="s">
        <v>9</v>
      </c>
      <c r="T136" s="1" t="s">
        <v>207</v>
      </c>
      <c r="U136" s="1" t="s">
        <v>365</v>
      </c>
    </row>
    <row r="137" spans="1:21" ht="26.25" x14ac:dyDescent="0.25">
      <c r="A137" s="3" t="s">
        <v>166</v>
      </c>
      <c r="B137" s="2" t="s">
        <v>167</v>
      </c>
      <c r="C137" s="13"/>
      <c r="D137" s="14" t="s">
        <v>1367</v>
      </c>
      <c r="E137" s="13"/>
      <c r="F137" s="13"/>
      <c r="G137" s="13"/>
      <c r="H137" s="13"/>
      <c r="I137" s="13"/>
      <c r="J137" s="13" t="s">
        <v>1474</v>
      </c>
      <c r="K137" s="6" t="str">
        <f>HYPERLINK("http://explorer.natureserve.org/servlet/NatureServe?searchSpeciesUid=ELEMENT_GLOBAL.2.106356")</f>
        <v>http://explorer.natureserve.org/servlet/NatureServe?searchSpeciesUid=ELEMENT_GLOBAL.2.106356</v>
      </c>
      <c r="L137" s="25" t="s">
        <v>62</v>
      </c>
      <c r="M137" s="1" t="s">
        <v>915</v>
      </c>
      <c r="N137" s="1" t="s">
        <v>86</v>
      </c>
      <c r="O137" s="1" t="s">
        <v>68</v>
      </c>
      <c r="P137" s="26"/>
      <c r="Q137" s="1" t="s">
        <v>7</v>
      </c>
      <c r="R137" s="1" t="s">
        <v>55</v>
      </c>
      <c r="S137" s="1" t="s">
        <v>83</v>
      </c>
      <c r="T137" s="1" t="s">
        <v>164</v>
      </c>
      <c r="U137" s="1" t="s">
        <v>165</v>
      </c>
    </row>
    <row r="138" spans="1:21" ht="39" x14ac:dyDescent="0.25">
      <c r="A138" s="3" t="s">
        <v>627</v>
      </c>
      <c r="B138" s="2" t="s">
        <v>628</v>
      </c>
      <c r="C138" s="13" t="s">
        <v>1376</v>
      </c>
      <c r="D138" s="14"/>
      <c r="E138" s="13" t="s">
        <v>1372</v>
      </c>
      <c r="F138" s="13"/>
      <c r="G138" s="13"/>
      <c r="H138" s="13"/>
      <c r="I138" s="13" t="s">
        <v>1419</v>
      </c>
      <c r="J138" s="13" t="s">
        <v>1475</v>
      </c>
      <c r="K138" s="6" t="s">
        <v>1053</v>
      </c>
      <c r="L138" s="25" t="s">
        <v>629</v>
      </c>
      <c r="M138" s="1" t="s">
        <v>922</v>
      </c>
      <c r="N138" s="1" t="s">
        <v>67</v>
      </c>
      <c r="O138" s="1" t="s">
        <v>68</v>
      </c>
      <c r="P138" s="26"/>
      <c r="Q138" s="1" t="s">
        <v>7</v>
      </c>
      <c r="R138" s="1" t="s">
        <v>63</v>
      </c>
      <c r="S138" s="1" t="s">
        <v>64</v>
      </c>
      <c r="T138" s="1" t="s">
        <v>65</v>
      </c>
      <c r="U138" s="1" t="s">
        <v>66</v>
      </c>
    </row>
    <row r="139" spans="1:21" ht="26.25" x14ac:dyDescent="0.25">
      <c r="A139" s="3" t="s">
        <v>770</v>
      </c>
      <c r="B139" s="2" t="s">
        <v>771</v>
      </c>
      <c r="C139" s="13" t="s">
        <v>1405</v>
      </c>
      <c r="D139" s="13" t="s">
        <v>1405</v>
      </c>
      <c r="E139" s="13" t="s">
        <v>1372</v>
      </c>
      <c r="F139" s="13"/>
      <c r="G139" s="13"/>
      <c r="H139" s="13"/>
      <c r="I139" s="13" t="s">
        <v>1405</v>
      </c>
      <c r="J139" s="13" t="s">
        <v>1474</v>
      </c>
      <c r="K139" s="6" t="str">
        <f>HYPERLINK("http://explorer.natureserve.org/servlet/NatureServe?searchSpeciesUid=ELEMENT_GLOBAL.2.112023")</f>
        <v>http://explorer.natureserve.org/servlet/NatureServe?searchSpeciesUid=ELEMENT_GLOBAL.2.112023</v>
      </c>
      <c r="L139" s="25" t="s">
        <v>52</v>
      </c>
      <c r="M139" s="1" t="s">
        <v>922</v>
      </c>
      <c r="N139" s="1" t="s">
        <v>67</v>
      </c>
      <c r="O139" s="1" t="s">
        <v>68</v>
      </c>
      <c r="P139" s="26"/>
      <c r="Q139" s="1" t="s">
        <v>7</v>
      </c>
      <c r="R139" s="1" t="s">
        <v>63</v>
      </c>
      <c r="S139" s="1" t="s">
        <v>64</v>
      </c>
      <c r="T139" s="1" t="s">
        <v>65</v>
      </c>
      <c r="U139" s="1" t="s">
        <v>66</v>
      </c>
    </row>
    <row r="140" spans="1:21" ht="26.25" x14ac:dyDescent="0.25">
      <c r="A140" s="3" t="s">
        <v>1060</v>
      </c>
      <c r="B140" s="2" t="s">
        <v>1061</v>
      </c>
      <c r="C140" s="13"/>
      <c r="D140" s="14"/>
      <c r="E140" s="13"/>
      <c r="F140" s="13"/>
      <c r="G140" s="13" t="s">
        <v>1391</v>
      </c>
      <c r="H140" s="13"/>
      <c r="I140" s="13"/>
      <c r="J140" s="13" t="s">
        <v>1474</v>
      </c>
      <c r="K140" s="6" t="s">
        <v>1054</v>
      </c>
      <c r="L140" s="25" t="s">
        <v>400</v>
      </c>
      <c r="M140" s="1" t="s">
        <v>1059</v>
      </c>
      <c r="N140" s="1" t="s">
        <v>138</v>
      </c>
      <c r="O140" s="1" t="s">
        <v>32</v>
      </c>
      <c r="P140" s="26"/>
      <c r="Q140" s="1" t="s">
        <v>105</v>
      </c>
      <c r="R140" s="1" t="s">
        <v>1055</v>
      </c>
      <c r="S140" s="1" t="s">
        <v>1056</v>
      </c>
      <c r="T140" s="1" t="s">
        <v>1057</v>
      </c>
      <c r="U140" s="1" t="s">
        <v>1058</v>
      </c>
    </row>
    <row r="141" spans="1:21" ht="26.25" x14ac:dyDescent="0.25">
      <c r="A141" s="7" t="s">
        <v>1065</v>
      </c>
      <c r="B141" s="8" t="s">
        <v>1066</v>
      </c>
      <c r="C141" s="13"/>
      <c r="D141" s="14"/>
      <c r="E141" s="13" t="s">
        <v>1401</v>
      </c>
      <c r="F141" s="13" t="s">
        <v>1401</v>
      </c>
      <c r="G141" s="13"/>
      <c r="H141" s="13"/>
      <c r="I141" s="13"/>
      <c r="J141" s="13" t="s">
        <v>1471</v>
      </c>
      <c r="K141" s="6" t="s">
        <v>1062</v>
      </c>
      <c r="L141" s="25" t="s">
        <v>89</v>
      </c>
      <c r="M141" s="1" t="s">
        <v>914</v>
      </c>
      <c r="N141" s="1" t="s">
        <v>257</v>
      </c>
      <c r="O141" s="1" t="s">
        <v>32</v>
      </c>
      <c r="P141" s="26" t="s">
        <v>54</v>
      </c>
      <c r="Q141" s="1" t="s">
        <v>105</v>
      </c>
      <c r="R141" s="1" t="s">
        <v>185</v>
      </c>
      <c r="S141" s="1" t="s">
        <v>200</v>
      </c>
      <c r="T141" s="1" t="s">
        <v>1063</v>
      </c>
      <c r="U141" s="1" t="s">
        <v>1064</v>
      </c>
    </row>
    <row r="142" spans="1:21" ht="26.25" x14ac:dyDescent="0.25">
      <c r="A142" s="3" t="s">
        <v>821</v>
      </c>
      <c r="B142" s="2" t="s">
        <v>822</v>
      </c>
      <c r="C142" s="13" t="s">
        <v>1403</v>
      </c>
      <c r="D142" s="14" t="s">
        <v>1420</v>
      </c>
      <c r="E142" s="14" t="s">
        <v>1420</v>
      </c>
      <c r="F142" s="14" t="s">
        <v>1420</v>
      </c>
      <c r="G142" s="14" t="s">
        <v>1420</v>
      </c>
      <c r="H142" s="14" t="s">
        <v>1420</v>
      </c>
      <c r="I142" s="13"/>
      <c r="J142" s="13" t="s">
        <v>1477</v>
      </c>
      <c r="K142" s="6" t="str">
        <f>HYPERLINK("http://explorer.natureserve.org/servlet/NatureServe?searchSpeciesUid=ELEMENT_GLOBAL.2.144373")</f>
        <v>http://explorer.natureserve.org/servlet/NatureServe?searchSpeciesUid=ELEMENT_GLOBAL.2.144373</v>
      </c>
      <c r="L142" s="25" t="s">
        <v>62</v>
      </c>
      <c r="M142" s="1" t="s">
        <v>914</v>
      </c>
      <c r="N142" s="1" t="s">
        <v>257</v>
      </c>
      <c r="O142" s="1" t="s">
        <v>32</v>
      </c>
      <c r="P142" s="26"/>
      <c r="Q142" s="1" t="s">
        <v>105</v>
      </c>
      <c r="R142" s="1" t="s">
        <v>185</v>
      </c>
      <c r="S142" s="1" t="s">
        <v>186</v>
      </c>
      <c r="T142" s="1" t="s">
        <v>255</v>
      </c>
      <c r="U142" s="1" t="s">
        <v>256</v>
      </c>
    </row>
    <row r="143" spans="1:21" ht="26.25" x14ac:dyDescent="0.25">
      <c r="A143" s="3" t="s">
        <v>653</v>
      </c>
      <c r="B143" s="2" t="s">
        <v>654</v>
      </c>
      <c r="C143" s="13"/>
      <c r="D143" s="14" t="s">
        <v>1367</v>
      </c>
      <c r="E143" s="13"/>
      <c r="F143" s="13"/>
      <c r="G143" s="13"/>
      <c r="H143" s="13"/>
      <c r="I143" s="13"/>
      <c r="J143" s="13" t="s">
        <v>1474</v>
      </c>
      <c r="K143" s="6" t="str">
        <f>HYPERLINK("http://explorer.natureserve.org/servlet/NatureServe?searchSpeciesUid=ELEMENT_GLOBAL.2.120042")</f>
        <v>http://explorer.natureserve.org/servlet/NatureServe?searchSpeciesUid=ELEMENT_GLOBAL.2.120042</v>
      </c>
      <c r="L143" s="25" t="s">
        <v>655</v>
      </c>
      <c r="M143" s="1" t="s">
        <v>922</v>
      </c>
      <c r="N143" s="1" t="s">
        <v>12</v>
      </c>
      <c r="O143" s="1" t="s">
        <v>32</v>
      </c>
      <c r="P143" s="26"/>
      <c r="Q143" s="1" t="s">
        <v>7</v>
      </c>
      <c r="R143" s="1" t="s">
        <v>8</v>
      </c>
      <c r="S143" s="1" t="s">
        <v>9</v>
      </c>
      <c r="T143" s="1" t="s">
        <v>141</v>
      </c>
      <c r="U143" s="1" t="s">
        <v>142</v>
      </c>
    </row>
    <row r="144" spans="1:21" ht="39" x14ac:dyDescent="0.25">
      <c r="A144" s="3" t="s">
        <v>896</v>
      </c>
      <c r="B144" s="2" t="s">
        <v>897</v>
      </c>
      <c r="C144" s="13" t="s">
        <v>1397</v>
      </c>
      <c r="D144" s="14"/>
      <c r="E144" s="13" t="s">
        <v>1413</v>
      </c>
      <c r="F144" s="13" t="s">
        <v>1402</v>
      </c>
      <c r="G144" s="13"/>
      <c r="H144" s="13" t="s">
        <v>1413</v>
      </c>
      <c r="I144" s="13" t="s">
        <v>1413</v>
      </c>
      <c r="J144" s="13" t="s">
        <v>1475</v>
      </c>
      <c r="K144" s="6" t="s">
        <v>1067</v>
      </c>
      <c r="L144" s="25" t="s">
        <v>62</v>
      </c>
      <c r="M144" s="1" t="s">
        <v>914</v>
      </c>
      <c r="N144" s="1" t="s">
        <v>189</v>
      </c>
      <c r="O144" s="1" t="s">
        <v>32</v>
      </c>
      <c r="P144" s="26"/>
      <c r="Q144" s="1" t="s">
        <v>105</v>
      </c>
      <c r="R144" s="1" t="s">
        <v>185</v>
      </c>
      <c r="S144" s="1" t="s">
        <v>186</v>
      </c>
      <c r="T144" s="1" t="s">
        <v>419</v>
      </c>
      <c r="U144" s="1" t="s">
        <v>420</v>
      </c>
    </row>
    <row r="145" spans="1:21" ht="26.25" x14ac:dyDescent="0.25">
      <c r="A145" s="3" t="s">
        <v>551</v>
      </c>
      <c r="B145" s="2" t="s">
        <v>552</v>
      </c>
      <c r="C145" s="13"/>
      <c r="D145" s="14"/>
      <c r="E145" s="13" t="s">
        <v>1386</v>
      </c>
      <c r="F145" s="13" t="s">
        <v>1387</v>
      </c>
      <c r="G145" s="13"/>
      <c r="H145" s="13"/>
      <c r="I145" s="13"/>
      <c r="J145" s="13" t="s">
        <v>1471</v>
      </c>
      <c r="K145" s="6" t="s">
        <v>1068</v>
      </c>
      <c r="L145" s="25" t="s">
        <v>89</v>
      </c>
      <c r="M145" s="1" t="s">
        <v>915</v>
      </c>
      <c r="N145" s="1" t="s">
        <v>86</v>
      </c>
      <c r="O145" s="1" t="s">
        <v>68</v>
      </c>
      <c r="P145" s="26"/>
      <c r="Q145" s="1" t="s">
        <v>7</v>
      </c>
      <c r="R145" s="1" t="s">
        <v>55</v>
      </c>
      <c r="S145" s="1" t="s">
        <v>83</v>
      </c>
      <c r="T145" s="1" t="s">
        <v>164</v>
      </c>
      <c r="U145" s="1" t="s">
        <v>289</v>
      </c>
    </row>
    <row r="146" spans="1:21" ht="26.25" x14ac:dyDescent="0.25">
      <c r="A146" s="3" t="s">
        <v>825</v>
      </c>
      <c r="B146" s="2" t="s">
        <v>826</v>
      </c>
      <c r="C146" s="13" t="s">
        <v>1421</v>
      </c>
      <c r="D146" s="14" t="s">
        <v>1388</v>
      </c>
      <c r="E146" s="13" t="s">
        <v>1421</v>
      </c>
      <c r="F146" s="13" t="s">
        <v>1421</v>
      </c>
      <c r="G146" s="13" t="s">
        <v>1421</v>
      </c>
      <c r="H146" s="13" t="s">
        <v>1421</v>
      </c>
      <c r="I146" s="13"/>
      <c r="J146" s="13" t="s">
        <v>1477</v>
      </c>
      <c r="K146" s="6" t="str">
        <f>HYPERLINK("http://explorer.natureserve.org/servlet/NatureServe?searchSpeciesUid=ELEMENT_GLOBAL.2.106063")</f>
        <v>http://explorer.natureserve.org/servlet/NatureServe?searchSpeciesUid=ELEMENT_GLOBAL.2.106063</v>
      </c>
      <c r="L146" s="25" t="s">
        <v>62</v>
      </c>
      <c r="M146" s="1" t="s">
        <v>915</v>
      </c>
      <c r="N146" s="1" t="s">
        <v>86</v>
      </c>
      <c r="O146" s="1" t="s">
        <v>68</v>
      </c>
      <c r="P146" s="26"/>
      <c r="Q146" s="1" t="s">
        <v>7</v>
      </c>
      <c r="R146" s="1" t="s">
        <v>55</v>
      </c>
      <c r="S146" s="1" t="s">
        <v>83</v>
      </c>
      <c r="T146" s="1" t="s">
        <v>164</v>
      </c>
      <c r="U146" s="1" t="s">
        <v>289</v>
      </c>
    </row>
    <row r="147" spans="1:21" ht="26.25" x14ac:dyDescent="0.25">
      <c r="A147" s="3" t="s">
        <v>290</v>
      </c>
      <c r="B147" s="2" t="s">
        <v>291</v>
      </c>
      <c r="C147" s="13"/>
      <c r="D147" s="14"/>
      <c r="E147" s="13" t="s">
        <v>1386</v>
      </c>
      <c r="F147" s="13" t="s">
        <v>1387</v>
      </c>
      <c r="G147" s="13"/>
      <c r="H147" s="13"/>
      <c r="I147" s="13"/>
      <c r="J147" s="13" t="s">
        <v>1471</v>
      </c>
      <c r="K147" s="6" t="s">
        <v>1069</v>
      </c>
      <c r="L147" s="25" t="s">
        <v>52</v>
      </c>
      <c r="M147" s="1" t="s">
        <v>915</v>
      </c>
      <c r="N147" s="1" t="s">
        <v>86</v>
      </c>
      <c r="O147" s="1" t="s">
        <v>68</v>
      </c>
      <c r="P147" s="26"/>
      <c r="Q147" s="1" t="s">
        <v>7</v>
      </c>
      <c r="R147" s="1" t="s">
        <v>55</v>
      </c>
      <c r="S147" s="1" t="s">
        <v>83</v>
      </c>
      <c r="T147" s="1" t="s">
        <v>164</v>
      </c>
      <c r="U147" s="1" t="s">
        <v>289</v>
      </c>
    </row>
    <row r="148" spans="1:21" ht="26.25" x14ac:dyDescent="0.25">
      <c r="A148" s="3" t="s">
        <v>640</v>
      </c>
      <c r="B148" s="2" t="s">
        <v>641</v>
      </c>
      <c r="C148" s="13"/>
      <c r="D148" s="14" t="s">
        <v>1384</v>
      </c>
      <c r="E148" s="13"/>
      <c r="F148" s="13"/>
      <c r="G148" s="13"/>
      <c r="H148" s="13"/>
      <c r="I148" s="13"/>
      <c r="J148" s="13" t="s">
        <v>1471</v>
      </c>
      <c r="K148" s="6" t="str">
        <f>HYPERLINK("http://explorer.natureserve.org/servlet/NatureServe?searchSpeciesUid=ELEMENT_GLOBAL.2.110821")</f>
        <v>http://explorer.natureserve.org/servlet/NatureServe?searchSpeciesUid=ELEMENT_GLOBAL.2.110821</v>
      </c>
      <c r="L148" s="25" t="s">
        <v>245</v>
      </c>
      <c r="M148" s="1" t="s">
        <v>922</v>
      </c>
      <c r="N148" s="1" t="s">
        <v>12</v>
      </c>
      <c r="O148" s="1" t="s">
        <v>32</v>
      </c>
      <c r="P148" s="26"/>
      <c r="Q148" s="1" t="s">
        <v>7</v>
      </c>
      <c r="R148" s="1" t="s">
        <v>8</v>
      </c>
      <c r="S148" s="1" t="s">
        <v>9</v>
      </c>
      <c r="T148" s="1" t="s">
        <v>141</v>
      </c>
      <c r="U148" s="1" t="s">
        <v>639</v>
      </c>
    </row>
    <row r="149" spans="1:21" ht="26.25" x14ac:dyDescent="0.25">
      <c r="A149" s="3" t="s">
        <v>1070</v>
      </c>
      <c r="B149" s="2" t="s">
        <v>431</v>
      </c>
      <c r="C149" s="13"/>
      <c r="D149" s="14" t="s">
        <v>1388</v>
      </c>
      <c r="E149" s="13"/>
      <c r="F149" s="13"/>
      <c r="G149" s="13"/>
      <c r="H149" s="13"/>
      <c r="I149" s="13"/>
      <c r="J149" s="13" t="s">
        <v>1477</v>
      </c>
      <c r="K149" s="6" t="str">
        <f>HYPERLINK("http://explorer.natureserve.org/servlet/NatureServe?searchSpeciesUid=ELEMENT_GLOBAL.2.104988")</f>
        <v>http://explorer.natureserve.org/servlet/NatureServe?searchSpeciesUid=ELEMENT_GLOBAL.2.104988</v>
      </c>
      <c r="L149" s="25" t="s">
        <v>62</v>
      </c>
      <c r="M149" s="1" t="s">
        <v>915</v>
      </c>
      <c r="N149" s="1" t="s">
        <v>171</v>
      </c>
      <c r="O149" s="1" t="s">
        <v>32</v>
      </c>
      <c r="P149" s="26"/>
      <c r="Q149" s="1" t="s">
        <v>7</v>
      </c>
      <c r="R149" s="1" t="s">
        <v>55</v>
      </c>
      <c r="S149" s="1" t="s">
        <v>326</v>
      </c>
      <c r="T149" s="1" t="s">
        <v>327</v>
      </c>
      <c r="U149" s="1" t="s">
        <v>328</v>
      </c>
    </row>
    <row r="150" spans="1:21" ht="26.25" x14ac:dyDescent="0.25">
      <c r="A150" s="3" t="s">
        <v>1071</v>
      </c>
      <c r="B150" s="2" t="s">
        <v>329</v>
      </c>
      <c r="C150" s="13"/>
      <c r="D150" s="14" t="s">
        <v>1388</v>
      </c>
      <c r="E150" s="13"/>
      <c r="F150" s="13"/>
      <c r="G150" s="13"/>
      <c r="H150" s="13"/>
      <c r="I150" s="13"/>
      <c r="J150" s="13" t="s">
        <v>1477</v>
      </c>
      <c r="K150" s="6" t="str">
        <f>HYPERLINK("http://explorer.natureserve.org/servlet/NatureServe?searchSpeciesUid=ELEMENT_GLOBAL.2.101505")</f>
        <v>http://explorer.natureserve.org/servlet/NatureServe?searchSpeciesUid=ELEMENT_GLOBAL.2.101505</v>
      </c>
      <c r="L150" s="25" t="s">
        <v>62</v>
      </c>
      <c r="M150" s="1" t="s">
        <v>915</v>
      </c>
      <c r="N150" s="1" t="s">
        <v>171</v>
      </c>
      <c r="O150" s="1" t="s">
        <v>32</v>
      </c>
      <c r="P150" s="26"/>
      <c r="Q150" s="1" t="s">
        <v>7</v>
      </c>
      <c r="R150" s="1" t="s">
        <v>55</v>
      </c>
      <c r="S150" s="1" t="s">
        <v>326</v>
      </c>
      <c r="T150" s="1" t="s">
        <v>327</v>
      </c>
      <c r="U150" s="1" t="s">
        <v>328</v>
      </c>
    </row>
    <row r="151" spans="1:21" ht="26.25" x14ac:dyDescent="0.25">
      <c r="A151" s="4" t="s">
        <v>584</v>
      </c>
      <c r="B151" s="2" t="s">
        <v>585</v>
      </c>
      <c r="C151" s="13" t="s">
        <v>1403</v>
      </c>
      <c r="D151" s="14"/>
      <c r="E151" s="14" t="s">
        <v>1420</v>
      </c>
      <c r="F151" s="14" t="s">
        <v>1420</v>
      </c>
      <c r="G151" s="13"/>
      <c r="H151" s="14" t="s">
        <v>1420</v>
      </c>
      <c r="I151" s="14" t="s">
        <v>1420</v>
      </c>
      <c r="J151" s="13" t="s">
        <v>1477</v>
      </c>
      <c r="K151" s="6" t="s">
        <v>1072</v>
      </c>
      <c r="L151" s="25" t="s">
        <v>62</v>
      </c>
      <c r="M151" s="1" t="s">
        <v>914</v>
      </c>
      <c r="N151" s="1" t="s">
        <v>189</v>
      </c>
      <c r="O151" s="1" t="s">
        <v>32</v>
      </c>
      <c r="P151" s="26"/>
      <c r="Q151" s="1" t="s">
        <v>105</v>
      </c>
      <c r="R151" s="1" t="s">
        <v>185</v>
      </c>
      <c r="S151" s="1" t="s">
        <v>200</v>
      </c>
      <c r="T151" s="1" t="s">
        <v>246</v>
      </c>
      <c r="U151" s="1" t="s">
        <v>247</v>
      </c>
    </row>
    <row r="152" spans="1:21" ht="26.25" x14ac:dyDescent="0.25">
      <c r="A152" s="3" t="s">
        <v>727</v>
      </c>
      <c r="B152" s="2" t="s">
        <v>728</v>
      </c>
      <c r="C152" s="13"/>
      <c r="D152" s="14" t="s">
        <v>1388</v>
      </c>
      <c r="E152" s="13"/>
      <c r="F152" s="13"/>
      <c r="G152" s="13"/>
      <c r="H152" s="13"/>
      <c r="I152" s="13"/>
      <c r="J152" s="13" t="s">
        <v>1477</v>
      </c>
      <c r="K152" s="6" t="str">
        <f>HYPERLINK("http://explorer.natureserve.org/servlet/NatureServe?searchSpeciesUid=ELEMENT_GLOBAL.2.101597")</f>
        <v>http://explorer.natureserve.org/servlet/NatureServe?searchSpeciesUid=ELEMENT_GLOBAL.2.101597</v>
      </c>
      <c r="L152" s="25" t="s">
        <v>89</v>
      </c>
      <c r="M152" s="1" t="s">
        <v>915</v>
      </c>
      <c r="N152" s="1" t="s">
        <v>59</v>
      </c>
      <c r="O152" s="1" t="s">
        <v>32</v>
      </c>
      <c r="P152" s="26"/>
      <c r="Q152" s="1" t="s">
        <v>7</v>
      </c>
      <c r="R152" s="1" t="s">
        <v>55</v>
      </c>
      <c r="S152" s="1" t="s">
        <v>56</v>
      </c>
      <c r="T152" s="1" t="s">
        <v>57</v>
      </c>
      <c r="U152" s="1" t="s">
        <v>239</v>
      </c>
    </row>
    <row r="153" spans="1:21" ht="26.25" x14ac:dyDescent="0.25">
      <c r="A153" s="3" t="s">
        <v>456</v>
      </c>
      <c r="B153" s="2" t="s">
        <v>457</v>
      </c>
      <c r="C153" s="13" t="s">
        <v>1378</v>
      </c>
      <c r="D153" s="14"/>
      <c r="E153" s="13" t="s">
        <v>1379</v>
      </c>
      <c r="F153" s="13" t="s">
        <v>1378</v>
      </c>
      <c r="G153" s="13"/>
      <c r="H153" s="13" t="s">
        <v>1378</v>
      </c>
      <c r="I153" s="13"/>
      <c r="J153" s="29" t="s">
        <v>1470</v>
      </c>
      <c r="K153" s="6" t="s">
        <v>1073</v>
      </c>
      <c r="L153" s="25" t="s">
        <v>52</v>
      </c>
      <c r="M153" s="1" t="s">
        <v>914</v>
      </c>
      <c r="N153" s="1" t="s">
        <v>189</v>
      </c>
      <c r="O153" s="1" t="s">
        <v>32</v>
      </c>
      <c r="P153" s="26"/>
      <c r="Q153" s="1" t="s">
        <v>105</v>
      </c>
      <c r="R153" s="1" t="s">
        <v>185</v>
      </c>
      <c r="S153" s="1" t="s">
        <v>200</v>
      </c>
      <c r="T153" s="1" t="s">
        <v>454</v>
      </c>
      <c r="U153" s="1" t="s">
        <v>455</v>
      </c>
    </row>
    <row r="154" spans="1:21" ht="26.25" x14ac:dyDescent="0.25">
      <c r="A154" s="7" t="s">
        <v>1074</v>
      </c>
      <c r="B154" s="8" t="s">
        <v>1075</v>
      </c>
      <c r="C154" s="13" t="s">
        <v>1368</v>
      </c>
      <c r="D154" s="13" t="s">
        <v>1368</v>
      </c>
      <c r="E154" s="13" t="s">
        <v>1368</v>
      </c>
      <c r="F154" s="13" t="s">
        <v>1368</v>
      </c>
      <c r="G154" s="13" t="s">
        <v>1368</v>
      </c>
      <c r="H154" s="13" t="s">
        <v>1368</v>
      </c>
      <c r="I154" s="13" t="s">
        <v>1368</v>
      </c>
      <c r="J154" s="13" t="s">
        <v>1474</v>
      </c>
      <c r="K154" s="6" t="str">
        <f>HYPERLINK("http://explorer.natureserve.org/servlet/NatureServe?searchSpeciesUid=ELEMENT_GLOBAL.2.107962")</f>
        <v>http://explorer.natureserve.org/servlet/NatureServe?searchSpeciesUid=ELEMENT_GLOBAL.2.107962</v>
      </c>
      <c r="L154" s="25" t="s">
        <v>89</v>
      </c>
      <c r="M154" s="1" t="s">
        <v>922</v>
      </c>
      <c r="N154" s="1" t="s">
        <v>12</v>
      </c>
      <c r="O154" s="1" t="s">
        <v>32</v>
      </c>
      <c r="P154" s="26" t="s">
        <v>53</v>
      </c>
      <c r="Q154" s="1" t="s">
        <v>7</v>
      </c>
      <c r="R154" s="1" t="s">
        <v>8</v>
      </c>
      <c r="S154" s="1" t="s">
        <v>9</v>
      </c>
      <c r="T154" s="1" t="s">
        <v>141</v>
      </c>
      <c r="U154" s="1" t="s">
        <v>460</v>
      </c>
    </row>
    <row r="155" spans="1:21" ht="26.25" x14ac:dyDescent="0.25">
      <c r="A155" s="3" t="s">
        <v>860</v>
      </c>
      <c r="B155" s="2" t="s">
        <v>861</v>
      </c>
      <c r="C155" s="13"/>
      <c r="D155" s="14"/>
      <c r="E155" s="13" t="s">
        <v>1372</v>
      </c>
      <c r="F155" s="13" t="s">
        <v>1405</v>
      </c>
      <c r="G155" s="13" t="s">
        <v>1405</v>
      </c>
      <c r="H155" s="13" t="s">
        <v>1405</v>
      </c>
      <c r="I155" s="13"/>
      <c r="J155" s="13" t="s">
        <v>1474</v>
      </c>
      <c r="K155" s="6" t="s">
        <v>1076</v>
      </c>
      <c r="L155" s="25" t="s">
        <v>89</v>
      </c>
      <c r="M155" s="1" t="s">
        <v>922</v>
      </c>
      <c r="N155" s="1" t="s">
        <v>12</v>
      </c>
      <c r="O155" s="1" t="s">
        <v>32</v>
      </c>
      <c r="P155" s="26"/>
      <c r="Q155" s="1" t="s">
        <v>7</v>
      </c>
      <c r="R155" s="1" t="s">
        <v>8</v>
      </c>
      <c r="S155" s="1" t="s">
        <v>9</v>
      </c>
      <c r="T155" s="1" t="s">
        <v>141</v>
      </c>
      <c r="U155" s="1" t="s">
        <v>142</v>
      </c>
    </row>
    <row r="156" spans="1:21" ht="26.25" x14ac:dyDescent="0.25">
      <c r="A156" s="3" t="s">
        <v>205</v>
      </c>
      <c r="B156" s="2" t="s">
        <v>206</v>
      </c>
      <c r="C156" s="13" t="s">
        <v>1405</v>
      </c>
      <c r="D156" s="13" t="s">
        <v>1405</v>
      </c>
      <c r="E156" s="13" t="s">
        <v>1372</v>
      </c>
      <c r="F156" s="13" t="s">
        <v>1405</v>
      </c>
      <c r="G156" s="13" t="s">
        <v>1405</v>
      </c>
      <c r="H156" s="13" t="s">
        <v>1405</v>
      </c>
      <c r="I156" s="13" t="s">
        <v>1405</v>
      </c>
      <c r="J156" s="13" t="s">
        <v>1474</v>
      </c>
      <c r="K156" s="6" t="str">
        <f>HYPERLINK("http://explorer.natureserve.org/servlet/NatureServe?searchSpeciesUid=ELEMENT_GLOBAL.2.109995")</f>
        <v>http://explorer.natureserve.org/servlet/NatureServe?searchSpeciesUid=ELEMENT_GLOBAL.2.109995</v>
      </c>
      <c r="L156" s="25" t="s">
        <v>89</v>
      </c>
      <c r="M156" s="1" t="s">
        <v>922</v>
      </c>
      <c r="N156" s="1" t="s">
        <v>12</v>
      </c>
      <c r="O156" s="1" t="s">
        <v>32</v>
      </c>
      <c r="P156" s="26"/>
      <c r="Q156" s="1" t="s">
        <v>7</v>
      </c>
      <c r="R156" s="1" t="s">
        <v>8</v>
      </c>
      <c r="S156" s="1" t="s">
        <v>9</v>
      </c>
      <c r="T156" s="1" t="s">
        <v>141</v>
      </c>
      <c r="U156" s="1" t="s">
        <v>142</v>
      </c>
    </row>
    <row r="157" spans="1:21" ht="26.25" x14ac:dyDescent="0.25">
      <c r="A157" s="3" t="s">
        <v>558</v>
      </c>
      <c r="B157" s="2" t="s">
        <v>559</v>
      </c>
      <c r="C157" s="13"/>
      <c r="D157" s="14" t="s">
        <v>1388</v>
      </c>
      <c r="E157" s="13"/>
      <c r="F157" s="13"/>
      <c r="G157" s="13"/>
      <c r="H157" s="13"/>
      <c r="I157" s="13"/>
      <c r="J157" s="13" t="s">
        <v>1477</v>
      </c>
      <c r="K157" s="6" t="str">
        <f>HYPERLINK("http://explorer.natureserve.org/servlet/NatureServe?searchSpeciesUid=ELEMENT_GLOBAL.2.100456")</f>
        <v>http://explorer.natureserve.org/servlet/NatureServe?searchSpeciesUid=ELEMENT_GLOBAL.2.100456</v>
      </c>
      <c r="L157" s="25" t="s">
        <v>62</v>
      </c>
      <c r="M157" s="1" t="s">
        <v>915</v>
      </c>
      <c r="N157" s="1" t="s">
        <v>171</v>
      </c>
      <c r="O157" s="1" t="s">
        <v>32</v>
      </c>
      <c r="P157" s="26"/>
      <c r="Q157" s="1" t="s">
        <v>7</v>
      </c>
      <c r="R157" s="1" t="s">
        <v>55</v>
      </c>
      <c r="S157" s="1" t="s">
        <v>168</v>
      </c>
      <c r="T157" s="1" t="s">
        <v>304</v>
      </c>
      <c r="U157" s="1" t="s">
        <v>305</v>
      </c>
    </row>
    <row r="158" spans="1:21" ht="26.25" x14ac:dyDescent="0.25">
      <c r="A158" s="3" t="s">
        <v>843</v>
      </c>
      <c r="B158" s="2" t="s">
        <v>844</v>
      </c>
      <c r="C158" s="13" t="s">
        <v>1405</v>
      </c>
      <c r="D158" s="13" t="s">
        <v>1405</v>
      </c>
      <c r="E158" s="13" t="s">
        <v>1372</v>
      </c>
      <c r="F158" s="13" t="s">
        <v>1405</v>
      </c>
      <c r="G158" s="13"/>
      <c r="H158" s="13"/>
      <c r="I158" s="13" t="s">
        <v>151</v>
      </c>
      <c r="J158" s="13" t="s">
        <v>1474</v>
      </c>
      <c r="K158" s="6" t="str">
        <f>HYPERLINK("http://explorer.natureserve.org/servlet/NatureServe?searchSpeciesUid=ELEMENT_GLOBAL.2.103970")</f>
        <v>http://explorer.natureserve.org/servlet/NatureServe?searchSpeciesUid=ELEMENT_GLOBAL.2.103970</v>
      </c>
      <c r="L158" s="25" t="s">
        <v>89</v>
      </c>
      <c r="M158" s="1" t="s">
        <v>915</v>
      </c>
      <c r="N158" s="1" t="s">
        <v>86</v>
      </c>
      <c r="O158" s="1" t="s">
        <v>68</v>
      </c>
      <c r="P158" s="26"/>
      <c r="Q158" s="1" t="s">
        <v>7</v>
      </c>
      <c r="R158" s="1" t="s">
        <v>55</v>
      </c>
      <c r="S158" s="1" t="s">
        <v>83</v>
      </c>
      <c r="T158" s="1" t="s">
        <v>213</v>
      </c>
      <c r="U158" s="1" t="s">
        <v>516</v>
      </c>
    </row>
    <row r="159" spans="1:21" ht="26.25" x14ac:dyDescent="0.25">
      <c r="A159" s="3" t="s">
        <v>651</v>
      </c>
      <c r="B159" s="2" t="s">
        <v>652</v>
      </c>
      <c r="C159" s="13"/>
      <c r="D159" s="14"/>
      <c r="E159" s="13" t="s">
        <v>1393</v>
      </c>
      <c r="F159" s="13"/>
      <c r="G159" s="13" t="s">
        <v>151</v>
      </c>
      <c r="H159" s="13"/>
      <c r="I159" s="13"/>
      <c r="J159" s="13" t="s">
        <v>1477</v>
      </c>
      <c r="K159" s="6" t="s">
        <v>1077</v>
      </c>
      <c r="L159" s="25" t="s">
        <v>89</v>
      </c>
      <c r="M159" s="1" t="s">
        <v>915</v>
      </c>
      <c r="N159" s="1" t="s">
        <v>59</v>
      </c>
      <c r="O159" s="1" t="s">
        <v>32</v>
      </c>
      <c r="P159" s="26"/>
      <c r="Q159" s="1" t="s">
        <v>7</v>
      </c>
      <c r="R159" s="1" t="s">
        <v>55</v>
      </c>
      <c r="S159" s="1" t="s">
        <v>56</v>
      </c>
      <c r="T159" s="1" t="s">
        <v>619</v>
      </c>
      <c r="U159" s="1" t="s">
        <v>650</v>
      </c>
    </row>
    <row r="160" spans="1:21" ht="26.25" x14ac:dyDescent="0.25">
      <c r="A160" s="3" t="s">
        <v>357</v>
      </c>
      <c r="B160" s="2" t="s">
        <v>358</v>
      </c>
      <c r="C160" s="13"/>
      <c r="D160" s="14"/>
      <c r="E160" s="13" t="s">
        <v>1379</v>
      </c>
      <c r="F160" s="13" t="s">
        <v>1378</v>
      </c>
      <c r="G160" s="13"/>
      <c r="H160" s="13" t="s">
        <v>1378</v>
      </c>
      <c r="I160" s="13" t="s">
        <v>1378</v>
      </c>
      <c r="J160" s="29" t="s">
        <v>1470</v>
      </c>
      <c r="K160" s="6" t="s">
        <v>1078</v>
      </c>
      <c r="L160" s="25" t="s">
        <v>62</v>
      </c>
      <c r="M160" s="1" t="s">
        <v>922</v>
      </c>
      <c r="N160" s="1" t="s">
        <v>21</v>
      </c>
      <c r="O160" s="1" t="s">
        <v>68</v>
      </c>
      <c r="P160" s="26"/>
      <c r="Q160" s="1" t="s">
        <v>7</v>
      </c>
      <c r="R160" s="1" t="s">
        <v>8</v>
      </c>
      <c r="S160" s="1" t="s">
        <v>71</v>
      </c>
      <c r="T160" s="1" t="s">
        <v>72</v>
      </c>
      <c r="U160" s="1" t="s">
        <v>73</v>
      </c>
    </row>
    <row r="161" spans="1:21" ht="26.25" x14ac:dyDescent="0.25">
      <c r="A161" s="3" t="s">
        <v>1080</v>
      </c>
      <c r="B161" s="2" t="s">
        <v>1081</v>
      </c>
      <c r="C161" s="13"/>
      <c r="D161" s="14"/>
      <c r="E161" s="13"/>
      <c r="F161" s="13"/>
      <c r="G161" s="13" t="s">
        <v>1391</v>
      </c>
      <c r="H161" s="13"/>
      <c r="I161" s="13"/>
      <c r="J161" s="13" t="s">
        <v>1474</v>
      </c>
      <c r="K161" s="6" t="s">
        <v>1079</v>
      </c>
      <c r="L161" s="25" t="s">
        <v>245</v>
      </c>
      <c r="M161" s="1" t="s">
        <v>914</v>
      </c>
      <c r="N161" s="1" t="s">
        <v>189</v>
      </c>
      <c r="O161" s="1" t="s">
        <v>32</v>
      </c>
      <c r="P161" s="26"/>
      <c r="Q161" s="1" t="s">
        <v>105</v>
      </c>
      <c r="R161" s="1" t="s">
        <v>185</v>
      </c>
      <c r="S161" s="1" t="s">
        <v>200</v>
      </c>
      <c r="T161" s="1" t="s">
        <v>201</v>
      </c>
      <c r="U161" s="1" t="s">
        <v>202</v>
      </c>
    </row>
    <row r="162" spans="1:21" ht="26.25" x14ac:dyDescent="0.25">
      <c r="A162" s="3" t="s">
        <v>644</v>
      </c>
      <c r="B162" s="2" t="s">
        <v>645</v>
      </c>
      <c r="C162" s="13"/>
      <c r="D162" s="14"/>
      <c r="E162" s="13" t="s">
        <v>1393</v>
      </c>
      <c r="F162" s="13"/>
      <c r="G162" s="13"/>
      <c r="H162" s="13"/>
      <c r="I162" s="13"/>
      <c r="J162" s="13" t="s">
        <v>1477</v>
      </c>
      <c r="K162" s="6" t="s">
        <v>1082</v>
      </c>
      <c r="L162" s="25" t="s">
        <v>116</v>
      </c>
      <c r="M162" s="1" t="s">
        <v>922</v>
      </c>
      <c r="N162" s="1" t="s">
        <v>21</v>
      </c>
      <c r="O162" s="1" t="s">
        <v>13</v>
      </c>
      <c r="P162" s="26"/>
      <c r="Q162" s="1" t="s">
        <v>7</v>
      </c>
      <c r="R162" s="1" t="s">
        <v>63</v>
      </c>
      <c r="S162" s="1" t="s">
        <v>177</v>
      </c>
      <c r="T162" s="1" t="s">
        <v>478</v>
      </c>
      <c r="U162" s="1" t="s">
        <v>479</v>
      </c>
    </row>
    <row r="163" spans="1:21" ht="26.25" x14ac:dyDescent="0.25">
      <c r="A163" s="3" t="s">
        <v>480</v>
      </c>
      <c r="B163" s="2" t="s">
        <v>481</v>
      </c>
      <c r="C163" s="13"/>
      <c r="D163" s="14"/>
      <c r="E163" s="13" t="s">
        <v>1393</v>
      </c>
      <c r="F163" s="13"/>
      <c r="G163" s="13"/>
      <c r="H163" s="13"/>
      <c r="I163" s="13"/>
      <c r="J163" s="13" t="s">
        <v>1477</v>
      </c>
      <c r="K163" s="6" t="s">
        <v>1083</v>
      </c>
      <c r="L163" s="25" t="s">
        <v>15</v>
      </c>
      <c r="M163" s="1" t="s">
        <v>922</v>
      </c>
      <c r="N163" s="1" t="s">
        <v>21</v>
      </c>
      <c r="O163" s="1" t="s">
        <v>13</v>
      </c>
      <c r="P163" s="26"/>
      <c r="Q163" s="1" t="s">
        <v>7</v>
      </c>
      <c r="R163" s="1" t="s">
        <v>63</v>
      </c>
      <c r="S163" s="1" t="s">
        <v>177</v>
      </c>
      <c r="T163" s="1" t="s">
        <v>478</v>
      </c>
      <c r="U163" s="1" t="s">
        <v>479</v>
      </c>
    </row>
    <row r="164" spans="1:21" ht="26.25" x14ac:dyDescent="0.25">
      <c r="A164" s="3" t="s">
        <v>1085</v>
      </c>
      <c r="B164" s="2" t="s">
        <v>1086</v>
      </c>
      <c r="C164" s="13"/>
      <c r="D164" s="14"/>
      <c r="E164" s="13"/>
      <c r="F164" s="13"/>
      <c r="G164" s="13" t="s">
        <v>1391</v>
      </c>
      <c r="H164" s="13"/>
      <c r="I164" s="13"/>
      <c r="J164" s="13" t="s">
        <v>1474</v>
      </c>
      <c r="K164" s="6" t="s">
        <v>1084</v>
      </c>
      <c r="L164" s="25" t="s">
        <v>62</v>
      </c>
      <c r="M164" s="1" t="s">
        <v>914</v>
      </c>
      <c r="N164" s="1" t="s">
        <v>189</v>
      </c>
      <c r="O164" s="1" t="s">
        <v>32</v>
      </c>
      <c r="P164" s="26"/>
      <c r="Q164" s="1" t="s">
        <v>105</v>
      </c>
      <c r="R164" s="1" t="s">
        <v>185</v>
      </c>
      <c r="S164" s="1" t="s">
        <v>200</v>
      </c>
      <c r="T164" s="1" t="s">
        <v>680</v>
      </c>
      <c r="U164" s="1" t="s">
        <v>681</v>
      </c>
    </row>
    <row r="165" spans="1:21" ht="26.25" x14ac:dyDescent="0.25">
      <c r="A165" s="3" t="s">
        <v>682</v>
      </c>
      <c r="B165" s="2" t="s">
        <v>683</v>
      </c>
      <c r="C165" s="13" t="s">
        <v>1403</v>
      </c>
      <c r="D165" s="14"/>
      <c r="E165" s="14" t="s">
        <v>1420</v>
      </c>
      <c r="F165" s="14" t="s">
        <v>1420</v>
      </c>
      <c r="G165" s="14" t="s">
        <v>1420</v>
      </c>
      <c r="H165" s="14" t="s">
        <v>1420</v>
      </c>
      <c r="I165" s="13"/>
      <c r="J165" s="13" t="s">
        <v>1477</v>
      </c>
      <c r="K165" s="6" t="s">
        <v>1087</v>
      </c>
      <c r="L165" s="25" t="s">
        <v>62</v>
      </c>
      <c r="M165" s="1" t="s">
        <v>914</v>
      </c>
      <c r="N165" s="1" t="s">
        <v>189</v>
      </c>
      <c r="O165" s="1" t="s">
        <v>32</v>
      </c>
      <c r="P165" s="26"/>
      <c r="Q165" s="1" t="s">
        <v>105</v>
      </c>
      <c r="R165" s="1" t="s">
        <v>185</v>
      </c>
      <c r="S165" s="1" t="s">
        <v>200</v>
      </c>
      <c r="T165" s="1" t="s">
        <v>680</v>
      </c>
      <c r="U165" s="1" t="s">
        <v>681</v>
      </c>
    </row>
    <row r="166" spans="1:21" ht="26.25" x14ac:dyDescent="0.25">
      <c r="A166" s="3" t="s">
        <v>1089</v>
      </c>
      <c r="B166" s="2" t="s">
        <v>1090</v>
      </c>
      <c r="C166" s="13"/>
      <c r="D166" s="14"/>
      <c r="E166" s="13"/>
      <c r="F166" s="13"/>
      <c r="G166" s="13" t="s">
        <v>1391</v>
      </c>
      <c r="H166" s="13"/>
      <c r="I166" s="13"/>
      <c r="J166" s="13" t="s">
        <v>1474</v>
      </c>
      <c r="K166" s="6" t="s">
        <v>1088</v>
      </c>
      <c r="L166" s="25" t="s">
        <v>400</v>
      </c>
      <c r="M166" s="1" t="s">
        <v>914</v>
      </c>
      <c r="N166" s="1" t="s">
        <v>189</v>
      </c>
      <c r="O166" s="1" t="s">
        <v>32</v>
      </c>
      <c r="P166" s="26"/>
      <c r="Q166" s="1" t="s">
        <v>105</v>
      </c>
      <c r="R166" s="1" t="s">
        <v>185</v>
      </c>
      <c r="S166" s="1" t="s">
        <v>200</v>
      </c>
      <c r="T166" s="1" t="s">
        <v>680</v>
      </c>
      <c r="U166" s="1" t="s">
        <v>681</v>
      </c>
    </row>
    <row r="167" spans="1:21" ht="26.25" x14ac:dyDescent="0.25">
      <c r="A167" s="7" t="s">
        <v>1092</v>
      </c>
      <c r="B167" s="8" t="s">
        <v>1093</v>
      </c>
      <c r="C167" s="13" t="s">
        <v>1396</v>
      </c>
      <c r="D167" s="14"/>
      <c r="E167" s="13" t="s">
        <v>1396</v>
      </c>
      <c r="F167" s="13" t="s">
        <v>1396</v>
      </c>
      <c r="G167" s="13"/>
      <c r="H167" s="13"/>
      <c r="I167" s="13"/>
      <c r="J167" s="13" t="s">
        <v>1477</v>
      </c>
      <c r="K167" s="6" t="s">
        <v>1091</v>
      </c>
      <c r="L167" s="25" t="s">
        <v>52</v>
      </c>
      <c r="M167" s="1" t="s">
        <v>914</v>
      </c>
      <c r="N167" s="1" t="s">
        <v>252</v>
      </c>
      <c r="O167" s="1" t="s">
        <v>32</v>
      </c>
      <c r="P167" s="26" t="s">
        <v>16</v>
      </c>
      <c r="Q167" s="1" t="s">
        <v>105</v>
      </c>
      <c r="R167" s="1" t="s">
        <v>185</v>
      </c>
      <c r="S167" s="1" t="s">
        <v>200</v>
      </c>
      <c r="T167" s="1" t="s">
        <v>250</v>
      </c>
      <c r="U167" s="1" t="s">
        <v>251</v>
      </c>
    </row>
    <row r="168" spans="1:21" ht="26.25" x14ac:dyDescent="0.25">
      <c r="A168" s="4" t="s">
        <v>293</v>
      </c>
      <c r="B168" s="2" t="s">
        <v>294</v>
      </c>
      <c r="C168" s="16"/>
      <c r="D168" s="14"/>
      <c r="E168" s="13" t="s">
        <v>1379</v>
      </c>
      <c r="F168" s="13" t="s">
        <v>1378</v>
      </c>
      <c r="G168" s="13"/>
      <c r="H168" s="13"/>
      <c r="I168" s="13"/>
      <c r="J168" s="29" t="s">
        <v>1470</v>
      </c>
      <c r="K168" s="6" t="s">
        <v>1094</v>
      </c>
      <c r="L168" s="25" t="s">
        <v>295</v>
      </c>
      <c r="M168" s="1" t="s">
        <v>915</v>
      </c>
      <c r="N168" s="1" t="s">
        <v>79</v>
      </c>
      <c r="O168" s="1" t="s">
        <v>32</v>
      </c>
      <c r="P168" s="26"/>
      <c r="Q168" s="1" t="s">
        <v>7</v>
      </c>
      <c r="R168" s="1" t="s">
        <v>55</v>
      </c>
      <c r="S168" s="1" t="s">
        <v>76</v>
      </c>
      <c r="T168" s="1" t="s">
        <v>77</v>
      </c>
      <c r="U168" s="1" t="s">
        <v>292</v>
      </c>
    </row>
    <row r="169" spans="1:21" ht="26.25" x14ac:dyDescent="0.25">
      <c r="A169" s="3" t="s">
        <v>1096</v>
      </c>
      <c r="B169" s="2" t="s">
        <v>1097</v>
      </c>
      <c r="C169" s="13"/>
      <c r="D169" s="14"/>
      <c r="E169" s="13"/>
      <c r="F169" s="13"/>
      <c r="G169" s="13" t="s">
        <v>1406</v>
      </c>
      <c r="H169" s="13"/>
      <c r="I169" s="13"/>
      <c r="J169" s="13" t="s">
        <v>1471</v>
      </c>
      <c r="K169" s="6" t="s">
        <v>1095</v>
      </c>
      <c r="L169" s="25" t="s">
        <v>62</v>
      </c>
      <c r="M169" s="1" t="s">
        <v>914</v>
      </c>
      <c r="N169" s="1" t="s">
        <v>257</v>
      </c>
      <c r="O169" s="1" t="s">
        <v>32</v>
      </c>
      <c r="P169" s="26"/>
      <c r="Q169" s="1" t="s">
        <v>105</v>
      </c>
      <c r="R169" s="1" t="s">
        <v>185</v>
      </c>
      <c r="S169" s="1" t="s">
        <v>186</v>
      </c>
      <c r="T169" s="1" t="s">
        <v>255</v>
      </c>
      <c r="U169" s="1" t="s">
        <v>416</v>
      </c>
    </row>
    <row r="170" spans="1:21" ht="26.25" x14ac:dyDescent="0.25">
      <c r="A170" s="4" t="s">
        <v>568</v>
      </c>
      <c r="B170" s="2" t="s">
        <v>569</v>
      </c>
      <c r="C170" s="13" t="s">
        <v>1387</v>
      </c>
      <c r="D170" s="14"/>
      <c r="E170" s="13" t="s">
        <v>1386</v>
      </c>
      <c r="F170" s="13" t="s">
        <v>1387</v>
      </c>
      <c r="G170" s="13"/>
      <c r="H170" s="13"/>
      <c r="I170" s="13"/>
      <c r="J170" s="13" t="s">
        <v>1471</v>
      </c>
      <c r="K170" s="6" t="s">
        <v>1098</v>
      </c>
      <c r="L170" s="25" t="s">
        <v>116</v>
      </c>
      <c r="M170" s="1" t="s">
        <v>922</v>
      </c>
      <c r="N170" s="1" t="s">
        <v>21</v>
      </c>
      <c r="O170" s="1" t="s">
        <v>32</v>
      </c>
      <c r="P170" s="26"/>
      <c r="Q170" s="1" t="s">
        <v>7</v>
      </c>
      <c r="R170" s="1" t="s">
        <v>63</v>
      </c>
      <c r="S170" s="1" t="s">
        <v>177</v>
      </c>
      <c r="T170" s="1" t="s">
        <v>178</v>
      </c>
      <c r="U170" s="1" t="s">
        <v>567</v>
      </c>
    </row>
    <row r="171" spans="1:21" ht="26.25" x14ac:dyDescent="0.25">
      <c r="A171" s="4" t="s">
        <v>900</v>
      </c>
      <c r="B171" s="2" t="s">
        <v>901</v>
      </c>
      <c r="C171" s="13" t="s">
        <v>1405</v>
      </c>
      <c r="D171" s="13" t="s">
        <v>1405</v>
      </c>
      <c r="E171" s="13" t="s">
        <v>1372</v>
      </c>
      <c r="F171" s="13" t="s">
        <v>1405</v>
      </c>
      <c r="G171" s="13" t="s">
        <v>1405</v>
      </c>
      <c r="H171" s="13" t="s">
        <v>1405</v>
      </c>
      <c r="I171" s="13"/>
      <c r="J171" s="13" t="s">
        <v>1474</v>
      </c>
      <c r="K171" s="6" t="str">
        <f>HYPERLINK("http://explorer.natureserve.org/servlet/NatureServe?searchSpeciesUid=ELEMENT_GLOBAL.2.100280")</f>
        <v>http://explorer.natureserve.org/servlet/NatureServe?searchSpeciesUid=ELEMENT_GLOBAL.2.100280</v>
      </c>
      <c r="L171" s="25" t="s">
        <v>52</v>
      </c>
      <c r="M171" s="1" t="s">
        <v>915</v>
      </c>
      <c r="N171" s="1" t="s">
        <v>171</v>
      </c>
      <c r="O171" s="1" t="s">
        <v>32</v>
      </c>
      <c r="P171" s="26"/>
      <c r="Q171" s="1" t="s">
        <v>7</v>
      </c>
      <c r="R171" s="1" t="s">
        <v>55</v>
      </c>
      <c r="S171" s="1" t="s">
        <v>228</v>
      </c>
      <c r="T171" s="1" t="s">
        <v>229</v>
      </c>
      <c r="U171" s="1" t="s">
        <v>230</v>
      </c>
    </row>
    <row r="172" spans="1:21" ht="26.25" x14ac:dyDescent="0.25">
      <c r="A172" s="4" t="s">
        <v>259</v>
      </c>
      <c r="B172" s="2" t="s">
        <v>260</v>
      </c>
      <c r="C172" s="13" t="s">
        <v>1376</v>
      </c>
      <c r="D172" s="14" t="s">
        <v>1366</v>
      </c>
      <c r="E172" s="13"/>
      <c r="F172" s="13"/>
      <c r="G172" s="13" t="s">
        <v>151</v>
      </c>
      <c r="H172" s="13" t="s">
        <v>151</v>
      </c>
      <c r="I172" s="13"/>
      <c r="J172" s="29" t="s">
        <v>1470</v>
      </c>
      <c r="K172" s="6" t="str">
        <f>HYPERLINK("http://explorer.natureserve.org/servlet/NatureServe?searchSpeciesUid=ELEMENT_GLOBAL.2.101495")</f>
        <v>http://explorer.natureserve.org/servlet/NatureServe?searchSpeciesUid=ELEMENT_GLOBAL.2.101495</v>
      </c>
      <c r="L172" s="25" t="s">
        <v>52</v>
      </c>
      <c r="M172" s="1" t="s">
        <v>915</v>
      </c>
      <c r="N172" s="1" t="s">
        <v>171</v>
      </c>
      <c r="O172" s="1" t="s">
        <v>32</v>
      </c>
      <c r="P172" s="26"/>
      <c r="Q172" s="1" t="s">
        <v>7</v>
      </c>
      <c r="R172" s="1" t="s">
        <v>55</v>
      </c>
      <c r="S172" s="1" t="s">
        <v>228</v>
      </c>
      <c r="T172" s="1" t="s">
        <v>229</v>
      </c>
      <c r="U172" s="1" t="s">
        <v>230</v>
      </c>
    </row>
    <row r="173" spans="1:21" ht="26.25" x14ac:dyDescent="0.25">
      <c r="A173" s="3" t="s">
        <v>574</v>
      </c>
      <c r="B173" s="2" t="s">
        <v>575</v>
      </c>
      <c r="C173" s="13" t="s">
        <v>623</v>
      </c>
      <c r="D173" s="13" t="s">
        <v>1395</v>
      </c>
      <c r="E173" s="13" t="s">
        <v>1393</v>
      </c>
      <c r="F173" s="13" t="s">
        <v>1395</v>
      </c>
      <c r="G173" s="13" t="s">
        <v>1395</v>
      </c>
      <c r="H173" s="13" t="s">
        <v>1395</v>
      </c>
      <c r="I173" s="13" t="s">
        <v>1395</v>
      </c>
      <c r="J173" s="13" t="s">
        <v>1477</v>
      </c>
      <c r="K173" s="6" t="str">
        <f>HYPERLINK("http://explorer.natureserve.org/servlet/NatureServe?searchSpeciesUid=ELEMENT_GLOBAL.2.114745")</f>
        <v>http://explorer.natureserve.org/servlet/NatureServe?searchSpeciesUid=ELEMENT_GLOBAL.2.114745</v>
      </c>
      <c r="L173" s="25" t="s">
        <v>62</v>
      </c>
      <c r="M173" s="1" t="s">
        <v>922</v>
      </c>
      <c r="N173" s="1" t="s">
        <v>12</v>
      </c>
      <c r="O173" s="1" t="s">
        <v>32</v>
      </c>
      <c r="P173" s="26"/>
      <c r="Q173" s="1" t="s">
        <v>7</v>
      </c>
      <c r="R173" s="1" t="s">
        <v>8</v>
      </c>
      <c r="S173" s="1" t="s">
        <v>9</v>
      </c>
      <c r="T173" s="1" t="s">
        <v>207</v>
      </c>
      <c r="U173" s="1" t="s">
        <v>334</v>
      </c>
    </row>
    <row r="174" spans="1:21" ht="26.25" x14ac:dyDescent="0.25">
      <c r="A174" s="3" t="s">
        <v>692</v>
      </c>
      <c r="B174" s="2" t="s">
        <v>693</v>
      </c>
      <c r="C174" s="13" t="s">
        <v>1397</v>
      </c>
      <c r="D174" s="14" t="s">
        <v>1407</v>
      </c>
      <c r="E174" s="14" t="s">
        <v>1407</v>
      </c>
      <c r="F174" s="14" t="s">
        <v>1407</v>
      </c>
      <c r="G174" s="14" t="s">
        <v>1407</v>
      </c>
      <c r="H174" s="14" t="s">
        <v>1407</v>
      </c>
      <c r="I174" s="14" t="s">
        <v>1407</v>
      </c>
      <c r="J174" s="13" t="s">
        <v>1474</v>
      </c>
      <c r="K174" s="6" t="str">
        <f>HYPERLINK("http://explorer.natureserve.org/servlet/NatureServe?searchSpeciesUid=ELEMENT_GLOBAL.2.118053")</f>
        <v>http://explorer.natureserve.org/servlet/NatureServe?searchSpeciesUid=ELEMENT_GLOBAL.2.118053</v>
      </c>
      <c r="L174" s="25" t="s">
        <v>82</v>
      </c>
      <c r="M174" s="1" t="s">
        <v>922</v>
      </c>
      <c r="N174" s="1" t="s">
        <v>12</v>
      </c>
      <c r="O174" s="1" t="s">
        <v>32</v>
      </c>
      <c r="P174" s="26"/>
      <c r="Q174" s="1" t="s">
        <v>7</v>
      </c>
      <c r="R174" s="1" t="s">
        <v>8</v>
      </c>
      <c r="S174" s="1" t="s">
        <v>9</v>
      </c>
      <c r="T174" s="1" t="s">
        <v>207</v>
      </c>
      <c r="U174" s="1" t="s">
        <v>334</v>
      </c>
    </row>
    <row r="175" spans="1:21" ht="26.25" x14ac:dyDescent="0.25">
      <c r="A175" s="3" t="s">
        <v>729</v>
      </c>
      <c r="B175" s="2" t="s">
        <v>730</v>
      </c>
      <c r="C175" s="13"/>
      <c r="D175" s="14" t="s">
        <v>1373</v>
      </c>
      <c r="E175" s="13"/>
      <c r="F175" s="13"/>
      <c r="G175" s="13"/>
      <c r="H175" s="13"/>
      <c r="I175" s="13"/>
      <c r="J175" s="13" t="s">
        <v>1473</v>
      </c>
      <c r="K175" s="6" t="str">
        <f>HYPERLINK("http://explorer.natureserve.org/servlet/NatureServe?searchSpeciesUid=ELEMENT_GLOBAL.2.107876")</f>
        <v>http://explorer.natureserve.org/servlet/NatureServe?searchSpeciesUid=ELEMENT_GLOBAL.2.107876</v>
      </c>
      <c r="L175" s="25" t="s">
        <v>89</v>
      </c>
      <c r="M175" s="1" t="s">
        <v>922</v>
      </c>
      <c r="N175" s="1" t="s">
        <v>12</v>
      </c>
      <c r="O175" s="1" t="s">
        <v>32</v>
      </c>
      <c r="P175" s="26"/>
      <c r="Q175" s="1" t="s">
        <v>7</v>
      </c>
      <c r="R175" s="1" t="s">
        <v>8</v>
      </c>
      <c r="S175" s="1" t="s">
        <v>9</v>
      </c>
      <c r="T175" s="1" t="s">
        <v>207</v>
      </c>
      <c r="U175" s="1" t="s">
        <v>334</v>
      </c>
    </row>
    <row r="176" spans="1:21" ht="26.25" x14ac:dyDescent="0.25">
      <c r="A176" s="3" t="s">
        <v>485</v>
      </c>
      <c r="B176" s="2" t="s">
        <v>486</v>
      </c>
      <c r="C176" s="13" t="s">
        <v>1397</v>
      </c>
      <c r="D176" s="14" t="s">
        <v>1407</v>
      </c>
      <c r="E176" s="14" t="s">
        <v>1407</v>
      </c>
      <c r="F176" s="14" t="s">
        <v>1407</v>
      </c>
      <c r="G176" s="13"/>
      <c r="H176" s="13"/>
      <c r="I176" s="14" t="s">
        <v>1407</v>
      </c>
      <c r="J176" s="13" t="s">
        <v>1474</v>
      </c>
      <c r="K176" s="6" t="str">
        <f>HYPERLINK("http://explorer.natureserve.org/servlet/NatureServe?searchSpeciesUid=ELEMENT_GLOBAL.2.118518")</f>
        <v>http://explorer.natureserve.org/servlet/NatureServe?searchSpeciesUid=ELEMENT_GLOBAL.2.118518</v>
      </c>
      <c r="L176" s="25" t="s">
        <v>82</v>
      </c>
      <c r="M176" s="1" t="s">
        <v>922</v>
      </c>
      <c r="N176" s="1" t="s">
        <v>12</v>
      </c>
      <c r="O176" s="1" t="s">
        <v>32</v>
      </c>
      <c r="P176" s="26"/>
      <c r="Q176" s="1" t="s">
        <v>7</v>
      </c>
      <c r="R176" s="1" t="s">
        <v>8</v>
      </c>
      <c r="S176" s="1" t="s">
        <v>9</v>
      </c>
      <c r="T176" s="1" t="s">
        <v>207</v>
      </c>
      <c r="U176" s="1" t="s">
        <v>334</v>
      </c>
    </row>
    <row r="177" spans="1:21" ht="26.25" x14ac:dyDescent="0.25">
      <c r="A177" s="3" t="s">
        <v>904</v>
      </c>
      <c r="B177" s="2" t="s">
        <v>905</v>
      </c>
      <c r="C177" s="13"/>
      <c r="D177" s="14"/>
      <c r="E177" s="13" t="s">
        <v>1393</v>
      </c>
      <c r="F177" s="13"/>
      <c r="G177" s="13"/>
      <c r="H177" s="13"/>
      <c r="I177" s="13"/>
      <c r="J177" s="13" t="s">
        <v>1477</v>
      </c>
      <c r="K177" s="6" t="s">
        <v>1099</v>
      </c>
      <c r="L177" s="25" t="s">
        <v>15</v>
      </c>
      <c r="M177" s="1" t="s">
        <v>915</v>
      </c>
      <c r="N177" s="1" t="s">
        <v>171</v>
      </c>
      <c r="O177" s="1" t="s">
        <v>32</v>
      </c>
      <c r="P177" s="26"/>
      <c r="Q177" s="1" t="s">
        <v>7</v>
      </c>
      <c r="R177" s="1" t="s">
        <v>55</v>
      </c>
      <c r="S177" s="1" t="s">
        <v>168</v>
      </c>
      <c r="T177" s="1" t="s">
        <v>304</v>
      </c>
      <c r="U177" s="1" t="s">
        <v>305</v>
      </c>
    </row>
    <row r="178" spans="1:21" ht="26.25" x14ac:dyDescent="0.25">
      <c r="A178" s="3" t="s">
        <v>490</v>
      </c>
      <c r="B178" s="2" t="s">
        <v>491</v>
      </c>
      <c r="C178" s="13" t="s">
        <v>1405</v>
      </c>
      <c r="D178" s="14"/>
      <c r="E178" s="13" t="s">
        <v>1372</v>
      </c>
      <c r="F178" s="13" t="s">
        <v>1405</v>
      </c>
      <c r="G178" s="13"/>
      <c r="H178" s="13"/>
      <c r="I178" s="13"/>
      <c r="J178" s="13" t="s">
        <v>1474</v>
      </c>
      <c r="K178" s="6" t="s">
        <v>1100</v>
      </c>
      <c r="L178" s="25" t="s">
        <v>52</v>
      </c>
      <c r="M178" s="1" t="s">
        <v>922</v>
      </c>
      <c r="N178" s="1" t="s">
        <v>12</v>
      </c>
      <c r="O178" s="1" t="s">
        <v>32</v>
      </c>
      <c r="P178" s="26"/>
      <c r="Q178" s="1" t="s">
        <v>7</v>
      </c>
      <c r="R178" s="1" t="s">
        <v>8</v>
      </c>
      <c r="S178" s="1" t="s">
        <v>9</v>
      </c>
      <c r="T178" s="1" t="s">
        <v>48</v>
      </c>
      <c r="U178" s="1" t="s">
        <v>489</v>
      </c>
    </row>
    <row r="179" spans="1:21" ht="26.25" x14ac:dyDescent="0.25">
      <c r="A179" s="3" t="s">
        <v>792</v>
      </c>
      <c r="B179" s="2" t="s">
        <v>793</v>
      </c>
      <c r="C179" s="13"/>
      <c r="D179" s="14"/>
      <c r="E179" s="13" t="s">
        <v>1379</v>
      </c>
      <c r="F179" s="13"/>
      <c r="G179" s="13"/>
      <c r="H179" s="13"/>
      <c r="I179" s="13"/>
      <c r="J179" s="29" t="s">
        <v>1470</v>
      </c>
      <c r="K179" s="6" t="s">
        <v>1101</v>
      </c>
      <c r="L179" s="25" t="s">
        <v>116</v>
      </c>
      <c r="M179" s="1" t="s">
        <v>922</v>
      </c>
      <c r="N179" s="1" t="s">
        <v>12</v>
      </c>
      <c r="O179" s="1" t="s">
        <v>32</v>
      </c>
      <c r="P179" s="26"/>
      <c r="Q179" s="1" t="s">
        <v>7</v>
      </c>
      <c r="R179" s="1" t="s">
        <v>8</v>
      </c>
      <c r="S179" s="1" t="s">
        <v>9</v>
      </c>
      <c r="T179" s="1" t="s">
        <v>48</v>
      </c>
      <c r="U179" s="1" t="s">
        <v>489</v>
      </c>
    </row>
    <row r="180" spans="1:21" ht="26.25" x14ac:dyDescent="0.25">
      <c r="A180" s="3" t="s">
        <v>125</v>
      </c>
      <c r="B180" s="2" t="s">
        <v>126</v>
      </c>
      <c r="C180" s="13"/>
      <c r="D180" s="14"/>
      <c r="E180" s="13" t="s">
        <v>1393</v>
      </c>
      <c r="F180" s="13"/>
      <c r="G180" s="13"/>
      <c r="H180" s="13"/>
      <c r="I180" s="13"/>
      <c r="J180" s="13" t="s">
        <v>1477</v>
      </c>
      <c r="K180" s="6" t="s">
        <v>1102</v>
      </c>
      <c r="L180" s="25" t="s">
        <v>127</v>
      </c>
      <c r="M180" s="1" t="s">
        <v>922</v>
      </c>
      <c r="N180" s="1" t="s">
        <v>21</v>
      </c>
      <c r="O180" s="1" t="s">
        <v>13</v>
      </c>
      <c r="P180" s="26"/>
      <c r="Q180" s="1" t="s">
        <v>7</v>
      </c>
      <c r="R180" s="1" t="s">
        <v>121</v>
      </c>
      <c r="S180" s="1" t="s">
        <v>122</v>
      </c>
      <c r="T180" s="1" t="s">
        <v>123</v>
      </c>
      <c r="U180" s="1" t="s">
        <v>124</v>
      </c>
    </row>
    <row r="181" spans="1:21" ht="26.25" x14ac:dyDescent="0.25">
      <c r="A181" s="7" t="s">
        <v>1104</v>
      </c>
      <c r="B181" s="8" t="s">
        <v>1105</v>
      </c>
      <c r="C181" s="13"/>
      <c r="D181" s="14"/>
      <c r="E181" s="13"/>
      <c r="F181" s="13" t="s">
        <v>1409</v>
      </c>
      <c r="G181" s="13"/>
      <c r="H181" s="13"/>
      <c r="I181" s="13"/>
      <c r="J181" s="29" t="s">
        <v>1470</v>
      </c>
      <c r="K181" s="6" t="s">
        <v>1103</v>
      </c>
      <c r="L181" s="25" t="s">
        <v>52</v>
      </c>
      <c r="M181" s="1" t="s">
        <v>914</v>
      </c>
      <c r="N181" s="1" t="s">
        <v>189</v>
      </c>
      <c r="O181" s="1" t="s">
        <v>32</v>
      </c>
      <c r="P181" s="26" t="s">
        <v>140</v>
      </c>
      <c r="Q181" s="1" t="s">
        <v>105</v>
      </c>
      <c r="R181" s="1" t="s">
        <v>185</v>
      </c>
      <c r="S181" s="1" t="s">
        <v>200</v>
      </c>
      <c r="T181" s="1" t="s">
        <v>246</v>
      </c>
      <c r="U181" s="1" t="s">
        <v>247</v>
      </c>
    </row>
    <row r="182" spans="1:21" ht="39" x14ac:dyDescent="0.25">
      <c r="A182" s="3" t="s">
        <v>902</v>
      </c>
      <c r="B182" s="2" t="s">
        <v>903</v>
      </c>
      <c r="C182" s="13" t="s">
        <v>1403</v>
      </c>
      <c r="D182" s="14" t="s">
        <v>1417</v>
      </c>
      <c r="E182" s="13" t="s">
        <v>1383</v>
      </c>
      <c r="F182" s="14" t="s">
        <v>1417</v>
      </c>
      <c r="G182" s="14" t="s">
        <v>1417</v>
      </c>
      <c r="H182" s="14" t="s">
        <v>1417</v>
      </c>
      <c r="I182" s="14" t="s">
        <v>1417</v>
      </c>
      <c r="J182" s="13" t="s">
        <v>1479</v>
      </c>
      <c r="K182" s="6" t="str">
        <f>HYPERLINK("http://explorer.natureserve.org/servlet/NatureServe?searchSpeciesUid=ELEMENT_GLOBAL.2.104782")</f>
        <v>http://explorer.natureserve.org/servlet/NatureServe?searchSpeciesUid=ELEMENT_GLOBAL.2.104782</v>
      </c>
      <c r="L182" s="25" t="s">
        <v>62</v>
      </c>
      <c r="M182" s="1" t="s">
        <v>915</v>
      </c>
      <c r="N182" s="1" t="s">
        <v>59</v>
      </c>
      <c r="O182" s="1" t="s">
        <v>32</v>
      </c>
      <c r="P182" s="26"/>
      <c r="Q182" s="1" t="s">
        <v>7</v>
      </c>
      <c r="R182" s="1" t="s">
        <v>55</v>
      </c>
      <c r="S182" s="1" t="s">
        <v>56</v>
      </c>
      <c r="T182" s="1" t="s">
        <v>57</v>
      </c>
      <c r="U182" s="1" t="s">
        <v>236</v>
      </c>
    </row>
    <row r="183" spans="1:21" ht="26.25" x14ac:dyDescent="0.25">
      <c r="A183" s="7" t="s">
        <v>1107</v>
      </c>
      <c r="B183" s="8" t="s">
        <v>1108</v>
      </c>
      <c r="C183" s="13"/>
      <c r="D183" s="14"/>
      <c r="E183" s="13"/>
      <c r="F183" s="13" t="s">
        <v>1409</v>
      </c>
      <c r="G183" s="13" t="s">
        <v>151</v>
      </c>
      <c r="H183" s="13"/>
      <c r="I183" s="13"/>
      <c r="J183" s="29" t="s">
        <v>1470</v>
      </c>
      <c r="K183" s="6" t="s">
        <v>1106</v>
      </c>
      <c r="L183" s="25" t="s">
        <v>52</v>
      </c>
      <c r="M183" s="1" t="s">
        <v>914</v>
      </c>
      <c r="N183" s="1" t="s">
        <v>189</v>
      </c>
      <c r="O183" s="1" t="s">
        <v>32</v>
      </c>
      <c r="P183" s="26" t="s">
        <v>140</v>
      </c>
      <c r="Q183" s="1" t="s">
        <v>105</v>
      </c>
      <c r="R183" s="1" t="s">
        <v>185</v>
      </c>
      <c r="S183" s="1" t="s">
        <v>186</v>
      </c>
      <c r="T183" s="1" t="s">
        <v>419</v>
      </c>
      <c r="U183" s="1" t="s">
        <v>420</v>
      </c>
    </row>
    <row r="184" spans="1:21" ht="26.25" x14ac:dyDescent="0.25">
      <c r="A184" s="2" t="s">
        <v>1319</v>
      </c>
      <c r="B184" s="2" t="s">
        <v>262</v>
      </c>
      <c r="C184" s="13"/>
      <c r="D184" s="14" t="s">
        <v>1366</v>
      </c>
      <c r="E184" s="13"/>
      <c r="F184" s="13"/>
      <c r="G184" s="13"/>
      <c r="H184" s="13"/>
      <c r="I184" s="13"/>
      <c r="J184" s="29" t="s">
        <v>1470</v>
      </c>
      <c r="K184" s="6" t="str">
        <f>HYPERLINK("http://explorer.natureserve.org/servlet/NatureServe?searchSpeciesUid=ELEMENT_GLOBAL.2.116596")</f>
        <v>http://explorer.natureserve.org/servlet/NatureServe?searchSpeciesUid=ELEMENT_GLOBAL.2.116596</v>
      </c>
      <c r="L184" s="25" t="s">
        <v>127</v>
      </c>
      <c r="M184" s="1" t="s">
        <v>922</v>
      </c>
      <c r="N184" s="1" t="s">
        <v>12</v>
      </c>
      <c r="O184" s="1" t="s">
        <v>32</v>
      </c>
      <c r="P184" s="26"/>
      <c r="Q184" s="1" t="s">
        <v>7</v>
      </c>
      <c r="R184" s="1" t="s">
        <v>8</v>
      </c>
      <c r="S184" s="1" t="s">
        <v>9</v>
      </c>
      <c r="T184" s="1" t="s">
        <v>261</v>
      </c>
      <c r="U184" s="1" t="s">
        <v>261</v>
      </c>
    </row>
    <row r="185" spans="1:21" ht="26.25" x14ac:dyDescent="0.25">
      <c r="A185" s="3" t="s">
        <v>33</v>
      </c>
      <c r="B185" s="2" t="s">
        <v>34</v>
      </c>
      <c r="C185" s="13"/>
      <c r="D185" s="14" t="s">
        <v>1388</v>
      </c>
      <c r="E185" s="13"/>
      <c r="F185" s="13"/>
      <c r="G185" s="13"/>
      <c r="H185" s="13"/>
      <c r="I185" s="13"/>
      <c r="J185" s="13" t="s">
        <v>1477</v>
      </c>
      <c r="K185" s="6" t="str">
        <f>HYPERLINK("http://explorer.natureserve.org/servlet/NatureServe?searchSpeciesUid=ELEMENT_GLOBAL.2.119620")</f>
        <v>http://explorer.natureserve.org/servlet/NatureServe?searchSpeciesUid=ELEMENT_GLOBAL.2.119620</v>
      </c>
      <c r="L185" s="25" t="s">
        <v>35</v>
      </c>
      <c r="M185" s="1" t="s">
        <v>922</v>
      </c>
      <c r="N185" s="1" t="s">
        <v>12</v>
      </c>
      <c r="O185" s="1" t="s">
        <v>32</v>
      </c>
      <c r="P185" s="26"/>
      <c r="Q185" s="1" t="s">
        <v>7</v>
      </c>
      <c r="R185" s="1" t="s">
        <v>8</v>
      </c>
      <c r="S185" s="1" t="s">
        <v>9</v>
      </c>
      <c r="T185" s="1" t="s">
        <v>30</v>
      </c>
      <c r="U185" s="1" t="s">
        <v>31</v>
      </c>
    </row>
    <row r="186" spans="1:21" ht="26.25" x14ac:dyDescent="0.25">
      <c r="A186" s="3" t="s">
        <v>388</v>
      </c>
      <c r="B186" s="2" t="s">
        <v>389</v>
      </c>
      <c r="C186" s="13"/>
      <c r="D186" s="14" t="s">
        <v>1367</v>
      </c>
      <c r="E186" s="13"/>
      <c r="F186" s="13"/>
      <c r="G186" s="13"/>
      <c r="H186" s="13"/>
      <c r="I186" s="13"/>
      <c r="J186" s="13" t="s">
        <v>1474</v>
      </c>
      <c r="K186" s="6" t="str">
        <f>HYPERLINK("http://explorer.natureserve.org/servlet/NatureServe?searchSpeciesUid=ELEMENT_GLOBAL.2.106140")</f>
        <v>http://explorer.natureserve.org/servlet/NatureServe?searchSpeciesUid=ELEMENT_GLOBAL.2.106140</v>
      </c>
      <c r="L186" s="25" t="s">
        <v>62</v>
      </c>
      <c r="M186" s="1" t="s">
        <v>915</v>
      </c>
      <c r="N186" s="1" t="s">
        <v>171</v>
      </c>
      <c r="O186" s="1" t="s">
        <v>32</v>
      </c>
      <c r="P186" s="26"/>
      <c r="Q186" s="1" t="s">
        <v>7</v>
      </c>
      <c r="R186" s="1" t="s">
        <v>55</v>
      </c>
      <c r="S186" s="1" t="s">
        <v>326</v>
      </c>
      <c r="T186" s="1" t="s">
        <v>327</v>
      </c>
      <c r="U186" s="1" t="s">
        <v>387</v>
      </c>
    </row>
    <row r="187" spans="1:21" ht="26.25" x14ac:dyDescent="0.25">
      <c r="A187" s="3" t="s">
        <v>139</v>
      </c>
      <c r="B187" s="2" t="s">
        <v>1110</v>
      </c>
      <c r="C187" s="13"/>
      <c r="D187" s="14"/>
      <c r="E187" s="13"/>
      <c r="F187" s="13" t="s">
        <v>1422</v>
      </c>
      <c r="G187" s="13"/>
      <c r="H187" s="13"/>
      <c r="I187" s="13"/>
      <c r="J187" s="29" t="s">
        <v>1470</v>
      </c>
      <c r="K187" s="6" t="s">
        <v>1109</v>
      </c>
      <c r="L187" s="25" t="s">
        <v>62</v>
      </c>
      <c r="M187" s="1" t="s">
        <v>1059</v>
      </c>
      <c r="N187" s="5" t="s">
        <v>138</v>
      </c>
      <c r="O187" s="1" t="s">
        <v>32</v>
      </c>
      <c r="P187" s="26"/>
      <c r="Q187" s="1" t="s">
        <v>105</v>
      </c>
      <c r="R187" s="5" t="s">
        <v>134</v>
      </c>
      <c r="S187" s="5" t="s">
        <v>135</v>
      </c>
      <c r="T187" s="5" t="s">
        <v>136</v>
      </c>
      <c r="U187" s="5" t="s">
        <v>137</v>
      </c>
    </row>
    <row r="188" spans="1:21" ht="26.25" x14ac:dyDescent="0.25">
      <c r="A188" s="3" t="s">
        <v>1111</v>
      </c>
      <c r="B188" s="2" t="s">
        <v>817</v>
      </c>
      <c r="C188" s="13"/>
      <c r="D188" s="14" t="s">
        <v>1388</v>
      </c>
      <c r="E188" s="13"/>
      <c r="F188" s="13"/>
      <c r="G188" s="13"/>
      <c r="H188" s="13"/>
      <c r="I188" s="13"/>
      <c r="J188" s="13" t="s">
        <v>1477</v>
      </c>
      <c r="K188" s="6" t="str">
        <f>HYPERLINK("http://explorer.natureserve.org/servlet/NatureServe?searchSpeciesUid=ELEMENT_GLOBAL.2.114763")</f>
        <v>http://explorer.natureserve.org/servlet/NatureServe?searchSpeciesUid=ELEMENT_GLOBAL.2.114763</v>
      </c>
      <c r="L188" s="25" t="s">
        <v>818</v>
      </c>
      <c r="M188" s="1" t="s">
        <v>915</v>
      </c>
      <c r="N188" s="1" t="s">
        <v>86</v>
      </c>
      <c r="O188" s="1" t="s">
        <v>68</v>
      </c>
      <c r="P188" s="26"/>
      <c r="Q188" s="1" t="s">
        <v>7</v>
      </c>
      <c r="R188" s="1" t="s">
        <v>55</v>
      </c>
      <c r="S188" s="1" t="s">
        <v>83</v>
      </c>
      <c r="T188" s="1" t="s">
        <v>213</v>
      </c>
      <c r="U188" s="1" t="s">
        <v>516</v>
      </c>
    </row>
    <row r="189" spans="1:21" ht="26.25" x14ac:dyDescent="0.25">
      <c r="A189" s="3" t="s">
        <v>898</v>
      </c>
      <c r="B189" s="2" t="s">
        <v>899</v>
      </c>
      <c r="C189" s="13" t="s">
        <v>1389</v>
      </c>
      <c r="D189" s="14" t="s">
        <v>1423</v>
      </c>
      <c r="E189" s="14" t="s">
        <v>1423</v>
      </c>
      <c r="F189" s="14" t="s">
        <v>1423</v>
      </c>
      <c r="G189" s="14" t="s">
        <v>1423</v>
      </c>
      <c r="H189" s="14" t="s">
        <v>1423</v>
      </c>
      <c r="I189" s="14" t="s">
        <v>1423</v>
      </c>
      <c r="J189" s="13" t="s">
        <v>1473</v>
      </c>
      <c r="K189" s="6" t="str">
        <f>HYPERLINK("http://explorer.natureserve.org/servlet/NatureServe?searchSpeciesUid=ELEMENT_GLOBAL.2.106491")</f>
        <v>http://explorer.natureserve.org/servlet/NatureServe?searchSpeciesUid=ELEMENT_GLOBAL.2.106491</v>
      </c>
      <c r="L189" s="25" t="s">
        <v>62</v>
      </c>
      <c r="M189" s="1" t="s">
        <v>915</v>
      </c>
      <c r="N189" s="1" t="s">
        <v>59</v>
      </c>
      <c r="O189" s="1" t="s">
        <v>32</v>
      </c>
      <c r="P189" s="26"/>
      <c r="Q189" s="1" t="s">
        <v>7</v>
      </c>
      <c r="R189" s="1" t="s">
        <v>55</v>
      </c>
      <c r="S189" s="1" t="s">
        <v>56</v>
      </c>
      <c r="T189" s="1" t="s">
        <v>57</v>
      </c>
      <c r="U189" s="1" t="s">
        <v>193</v>
      </c>
    </row>
    <row r="190" spans="1:21" ht="26.25" x14ac:dyDescent="0.25">
      <c r="A190" s="3" t="s">
        <v>635</v>
      </c>
      <c r="B190" s="2" t="s">
        <v>636</v>
      </c>
      <c r="C190" s="13" t="s">
        <v>1375</v>
      </c>
      <c r="D190" s="13" t="s">
        <v>1375</v>
      </c>
      <c r="E190" s="13"/>
      <c r="F190" s="13" t="s">
        <v>1374</v>
      </c>
      <c r="G190" s="13" t="s">
        <v>1375</v>
      </c>
      <c r="H190" s="13"/>
      <c r="I190" s="13" t="s">
        <v>1375</v>
      </c>
      <c r="J190" s="13" t="s">
        <v>1477</v>
      </c>
      <c r="K190" s="6" t="str">
        <f>HYPERLINK("http://explorer.natureserve.org/servlet/NatureServe?searchSpeciesUid=ELEMENT_GLOBAL.2.129344")</f>
        <v>http://explorer.natureserve.org/servlet/NatureServe?searchSpeciesUid=ELEMENT_GLOBAL.2.129344</v>
      </c>
      <c r="L190" s="25" t="s">
        <v>62</v>
      </c>
      <c r="M190" s="1" t="s">
        <v>914</v>
      </c>
      <c r="N190" s="1" t="s">
        <v>189</v>
      </c>
      <c r="O190" s="1" t="s">
        <v>32</v>
      </c>
      <c r="P190" s="26"/>
      <c r="Q190" s="1" t="s">
        <v>105</v>
      </c>
      <c r="R190" s="1" t="s">
        <v>185</v>
      </c>
      <c r="S190" s="1" t="s">
        <v>200</v>
      </c>
      <c r="T190" s="1" t="s">
        <v>633</v>
      </c>
      <c r="U190" s="1" t="s">
        <v>634</v>
      </c>
    </row>
    <row r="191" spans="1:21" ht="26.25" x14ac:dyDescent="0.25">
      <c r="A191" s="3" t="s">
        <v>1113</v>
      </c>
      <c r="B191" s="2" t="s">
        <v>1114</v>
      </c>
      <c r="C191" s="13"/>
      <c r="D191" s="14"/>
      <c r="E191" s="13"/>
      <c r="F191" s="13"/>
      <c r="G191" s="13" t="s">
        <v>1391</v>
      </c>
      <c r="H191" s="13"/>
      <c r="I191" s="13"/>
      <c r="J191" s="13" t="s">
        <v>1474</v>
      </c>
      <c r="K191" s="6" t="s">
        <v>1112</v>
      </c>
      <c r="L191" s="25" t="s">
        <v>62</v>
      </c>
      <c r="M191" s="1" t="s">
        <v>914</v>
      </c>
      <c r="N191" s="1" t="s">
        <v>189</v>
      </c>
      <c r="O191" s="1" t="s">
        <v>32</v>
      </c>
      <c r="P191" s="26"/>
      <c r="Q191" s="1" t="s">
        <v>105</v>
      </c>
      <c r="R191" s="1" t="s">
        <v>185</v>
      </c>
      <c r="S191" s="1" t="s">
        <v>200</v>
      </c>
      <c r="T191" s="1" t="s">
        <v>633</v>
      </c>
      <c r="U191" s="1" t="s">
        <v>634</v>
      </c>
    </row>
    <row r="192" spans="1:21" ht="26.25" x14ac:dyDescent="0.25">
      <c r="A192" s="7" t="s">
        <v>1116</v>
      </c>
      <c r="B192" s="8" t="s">
        <v>1117</v>
      </c>
      <c r="C192" s="13"/>
      <c r="D192" s="14"/>
      <c r="E192" s="13" t="s">
        <v>1401</v>
      </c>
      <c r="F192" s="13"/>
      <c r="G192" s="13"/>
      <c r="H192" s="13"/>
      <c r="I192" s="13"/>
      <c r="J192" s="13" t="s">
        <v>1471</v>
      </c>
      <c r="K192" s="6" t="s">
        <v>1115</v>
      </c>
      <c r="L192" s="25" t="s">
        <v>52</v>
      </c>
      <c r="M192" s="1" t="s">
        <v>914</v>
      </c>
      <c r="N192" s="1" t="s">
        <v>189</v>
      </c>
      <c r="O192" s="1" t="s">
        <v>32</v>
      </c>
      <c r="P192" s="26" t="s">
        <v>54</v>
      </c>
      <c r="Q192" s="1" t="s">
        <v>105</v>
      </c>
      <c r="R192" s="1" t="s">
        <v>185</v>
      </c>
      <c r="S192" s="1" t="s">
        <v>200</v>
      </c>
      <c r="T192" s="1" t="s">
        <v>633</v>
      </c>
      <c r="U192" s="1" t="s">
        <v>634</v>
      </c>
    </row>
    <row r="193" spans="1:21" ht="26.25" x14ac:dyDescent="0.25">
      <c r="A193" s="3" t="s">
        <v>594</v>
      </c>
      <c r="B193" s="2" t="s">
        <v>595</v>
      </c>
      <c r="C193" s="13"/>
      <c r="D193" s="14" t="s">
        <v>1367</v>
      </c>
      <c r="E193" s="13"/>
      <c r="F193" s="13"/>
      <c r="G193" s="13"/>
      <c r="H193" s="13"/>
      <c r="I193" s="13"/>
      <c r="J193" s="13" t="s">
        <v>1474</v>
      </c>
      <c r="K193" s="6" t="str">
        <f>HYPERLINK("http://explorer.natureserve.org/servlet/NatureServe?searchSpeciesUid=ELEMENT_GLOBAL.2.101083")</f>
        <v>http://explorer.natureserve.org/servlet/NatureServe?searchSpeciesUid=ELEMENT_GLOBAL.2.101083</v>
      </c>
      <c r="L193" s="25" t="s">
        <v>82</v>
      </c>
      <c r="M193" s="1" t="s">
        <v>915</v>
      </c>
      <c r="N193" s="1" t="s">
        <v>86</v>
      </c>
      <c r="O193" s="1" t="s">
        <v>68</v>
      </c>
      <c r="P193" s="26"/>
      <c r="Q193" s="1" t="s">
        <v>7</v>
      </c>
      <c r="R193" s="1" t="s">
        <v>55</v>
      </c>
      <c r="S193" s="1" t="s">
        <v>591</v>
      </c>
      <c r="T193" s="1" t="s">
        <v>592</v>
      </c>
      <c r="U193" s="1" t="s">
        <v>593</v>
      </c>
    </row>
    <row r="194" spans="1:21" ht="26.25" x14ac:dyDescent="0.25">
      <c r="A194" s="3" t="s">
        <v>556</v>
      </c>
      <c r="B194" s="2" t="s">
        <v>557</v>
      </c>
      <c r="C194" s="13"/>
      <c r="D194" s="14"/>
      <c r="E194" s="13" t="s">
        <v>1408</v>
      </c>
      <c r="F194" s="13" t="s">
        <v>1402</v>
      </c>
      <c r="G194" s="13"/>
      <c r="H194" s="13"/>
      <c r="I194" s="13"/>
      <c r="J194" s="13" t="s">
        <v>1471</v>
      </c>
      <c r="K194" s="6" t="s">
        <v>1118</v>
      </c>
      <c r="L194" s="25" t="s">
        <v>62</v>
      </c>
      <c r="M194" s="1" t="s">
        <v>914</v>
      </c>
      <c r="N194" s="1" t="s">
        <v>252</v>
      </c>
      <c r="O194" s="1" t="s">
        <v>32</v>
      </c>
      <c r="P194" s="26"/>
      <c r="Q194" s="1" t="s">
        <v>105</v>
      </c>
      <c r="R194" s="1" t="s">
        <v>185</v>
      </c>
      <c r="S194" s="1" t="s">
        <v>200</v>
      </c>
      <c r="T194" s="1" t="s">
        <v>285</v>
      </c>
      <c r="U194" s="1" t="s">
        <v>555</v>
      </c>
    </row>
    <row r="195" spans="1:21" ht="26.25" x14ac:dyDescent="0.25">
      <c r="A195" s="3" t="s">
        <v>688</v>
      </c>
      <c r="B195" s="2" t="s">
        <v>689</v>
      </c>
      <c r="C195" s="13"/>
      <c r="D195" s="14" t="s">
        <v>1388</v>
      </c>
      <c r="E195" s="13"/>
      <c r="F195" s="13" t="s">
        <v>151</v>
      </c>
      <c r="G195" s="13"/>
      <c r="H195" s="13"/>
      <c r="I195" s="13"/>
      <c r="J195" s="13" t="s">
        <v>1477</v>
      </c>
      <c r="K195" s="6" t="str">
        <f>HYPERLINK("http://explorer.natureserve.org/servlet/NatureServe?searchSpeciesUid=ELEMENT_GLOBAL.2.114205")</f>
        <v>http://explorer.natureserve.org/servlet/NatureServe?searchSpeciesUid=ELEMENT_GLOBAL.2.114205</v>
      </c>
      <c r="L195" s="25" t="s">
        <v>62</v>
      </c>
      <c r="M195" s="1" t="s">
        <v>922</v>
      </c>
      <c r="N195" s="1" t="s">
        <v>12</v>
      </c>
      <c r="O195" s="1" t="s">
        <v>32</v>
      </c>
      <c r="P195" s="26"/>
      <c r="Q195" s="1" t="s">
        <v>7</v>
      </c>
      <c r="R195" s="1" t="s">
        <v>8</v>
      </c>
      <c r="S195" s="1" t="s">
        <v>9</v>
      </c>
      <c r="T195" s="1" t="s">
        <v>207</v>
      </c>
      <c r="U195" s="1" t="s">
        <v>365</v>
      </c>
    </row>
    <row r="196" spans="1:21" ht="26.25" x14ac:dyDescent="0.25">
      <c r="A196" s="2" t="s">
        <v>1320</v>
      </c>
      <c r="B196" s="2" t="s">
        <v>22</v>
      </c>
      <c r="C196" s="13"/>
      <c r="D196" s="14"/>
      <c r="E196" s="13" t="s">
        <v>1393</v>
      </c>
      <c r="F196" s="13"/>
      <c r="G196" s="13"/>
      <c r="H196" s="13"/>
      <c r="I196" s="13"/>
      <c r="J196" s="13" t="s">
        <v>1477</v>
      </c>
      <c r="K196" s="6" t="s">
        <v>1119</v>
      </c>
      <c r="L196" s="25" t="s">
        <v>15</v>
      </c>
      <c r="M196" s="1" t="s">
        <v>922</v>
      </c>
      <c r="N196" s="1" t="s">
        <v>21</v>
      </c>
      <c r="O196" s="1" t="s">
        <v>13</v>
      </c>
      <c r="P196" s="26"/>
      <c r="Q196" s="1" t="s">
        <v>7</v>
      </c>
      <c r="R196" s="1" t="s">
        <v>17</v>
      </c>
      <c r="S196" s="1" t="s">
        <v>18</v>
      </c>
      <c r="T196" s="1" t="s">
        <v>19</v>
      </c>
      <c r="U196" s="1" t="s">
        <v>20</v>
      </c>
    </row>
    <row r="197" spans="1:21" ht="26.25" x14ac:dyDescent="0.25">
      <c r="A197" s="3" t="s">
        <v>296</v>
      </c>
      <c r="B197" s="2" t="s">
        <v>297</v>
      </c>
      <c r="C197" s="13"/>
      <c r="D197" s="14"/>
      <c r="E197" s="13" t="s">
        <v>1393</v>
      </c>
      <c r="F197" s="13"/>
      <c r="G197" s="13"/>
      <c r="H197" s="13"/>
      <c r="I197" s="13"/>
      <c r="J197" s="13" t="s">
        <v>1477</v>
      </c>
      <c r="K197" s="6" t="s">
        <v>1120</v>
      </c>
      <c r="L197" s="25" t="s">
        <v>15</v>
      </c>
      <c r="M197" s="1" t="s">
        <v>922</v>
      </c>
      <c r="N197" s="1" t="s">
        <v>21</v>
      </c>
      <c r="O197" s="1" t="s">
        <v>13</v>
      </c>
      <c r="P197" s="26"/>
      <c r="Q197" s="1" t="s">
        <v>7</v>
      </c>
      <c r="R197" s="1" t="s">
        <v>17</v>
      </c>
      <c r="S197" s="1" t="s">
        <v>18</v>
      </c>
      <c r="T197" s="1" t="s">
        <v>19</v>
      </c>
      <c r="U197" s="1" t="s">
        <v>20</v>
      </c>
    </row>
    <row r="198" spans="1:21" ht="26.25" x14ac:dyDescent="0.25">
      <c r="A198" s="3" t="s">
        <v>760</v>
      </c>
      <c r="B198" s="2" t="s">
        <v>761</v>
      </c>
      <c r="C198" s="13" t="s">
        <v>1387</v>
      </c>
      <c r="D198" s="13" t="s">
        <v>1387</v>
      </c>
      <c r="E198" s="13" t="s">
        <v>1386</v>
      </c>
      <c r="F198" s="13"/>
      <c r="G198" s="13" t="s">
        <v>1387</v>
      </c>
      <c r="H198" s="13"/>
      <c r="I198" s="13" t="s">
        <v>1387</v>
      </c>
      <c r="J198" s="13" t="s">
        <v>1471</v>
      </c>
      <c r="K198" s="6" t="str">
        <f>HYPERLINK("http://explorer.natureserve.org/servlet/NatureServe?searchSpeciesUid=ELEMENT_GLOBAL.2.137976")</f>
        <v>http://explorer.natureserve.org/servlet/NatureServe?searchSpeciesUid=ELEMENT_GLOBAL.2.137976</v>
      </c>
      <c r="L198" s="25" t="s">
        <v>116</v>
      </c>
      <c r="M198" s="1" t="s">
        <v>914</v>
      </c>
      <c r="N198" s="1" t="s">
        <v>189</v>
      </c>
      <c r="O198" s="1" t="s">
        <v>32</v>
      </c>
      <c r="P198" s="26"/>
      <c r="Q198" s="1" t="s">
        <v>105</v>
      </c>
      <c r="R198" s="1" t="s">
        <v>185</v>
      </c>
      <c r="S198" s="1" t="s">
        <v>186</v>
      </c>
      <c r="T198" s="1" t="s">
        <v>187</v>
      </c>
      <c r="U198" s="1" t="s">
        <v>188</v>
      </c>
    </row>
    <row r="199" spans="1:21" ht="26.25" x14ac:dyDescent="0.25">
      <c r="A199" s="4" t="s">
        <v>829</v>
      </c>
      <c r="B199" s="2" t="s">
        <v>830</v>
      </c>
      <c r="C199" s="13" t="s">
        <v>1397</v>
      </c>
      <c r="D199" s="14"/>
      <c r="E199" s="14" t="s">
        <v>1407</v>
      </c>
      <c r="F199" s="13"/>
      <c r="G199" s="14" t="s">
        <v>1407</v>
      </c>
      <c r="H199" s="13"/>
      <c r="I199" s="13"/>
      <c r="J199" s="13" t="s">
        <v>1474</v>
      </c>
      <c r="K199" s="6" t="s">
        <v>1121</v>
      </c>
      <c r="L199" s="25" t="s">
        <v>62</v>
      </c>
      <c r="M199" s="1" t="s">
        <v>914</v>
      </c>
      <c r="N199" s="1" t="s">
        <v>257</v>
      </c>
      <c r="O199" s="1" t="s">
        <v>32</v>
      </c>
      <c r="P199" s="26"/>
      <c r="Q199" s="1" t="s">
        <v>105</v>
      </c>
      <c r="R199" s="1" t="s">
        <v>185</v>
      </c>
      <c r="S199" s="1" t="s">
        <v>186</v>
      </c>
      <c r="T199" s="1" t="s">
        <v>827</v>
      </c>
      <c r="U199" s="1" t="s">
        <v>828</v>
      </c>
    </row>
    <row r="200" spans="1:21" ht="26.25" x14ac:dyDescent="0.25">
      <c r="A200" s="3" t="s">
        <v>253</v>
      </c>
      <c r="B200" s="2" t="s">
        <v>254</v>
      </c>
      <c r="C200" s="13" t="s">
        <v>1365</v>
      </c>
      <c r="D200" s="14" t="s">
        <v>1392</v>
      </c>
      <c r="E200" s="13"/>
      <c r="F200" s="13"/>
      <c r="G200" s="14" t="s">
        <v>1392</v>
      </c>
      <c r="H200" s="13"/>
      <c r="I200" s="13"/>
      <c r="J200" s="29" t="s">
        <v>1470</v>
      </c>
      <c r="K200" s="6" t="str">
        <f>HYPERLINK("http://explorer.natureserve.org/servlet/NatureServe?searchSpeciesUid=ELEMENT_GLOBAL.2.140476")</f>
        <v>http://explorer.natureserve.org/servlet/NatureServe?searchSpeciesUid=ELEMENT_GLOBAL.2.140476</v>
      </c>
      <c r="L200" s="25" t="s">
        <v>62</v>
      </c>
      <c r="M200" s="1" t="s">
        <v>914</v>
      </c>
      <c r="N200" s="1" t="s">
        <v>252</v>
      </c>
      <c r="O200" s="1" t="s">
        <v>32</v>
      </c>
      <c r="P200" s="26"/>
      <c r="Q200" s="1" t="s">
        <v>105</v>
      </c>
      <c r="R200" s="1" t="s">
        <v>185</v>
      </c>
      <c r="S200" s="1" t="s">
        <v>200</v>
      </c>
      <c r="T200" s="1" t="s">
        <v>250</v>
      </c>
      <c r="U200" s="1" t="s">
        <v>251</v>
      </c>
    </row>
    <row r="201" spans="1:21" ht="26.25" x14ac:dyDescent="0.25">
      <c r="A201" s="3" t="s">
        <v>642</v>
      </c>
      <c r="B201" s="2" t="s">
        <v>643</v>
      </c>
      <c r="C201" s="13"/>
      <c r="D201" s="14"/>
      <c r="E201" s="13" t="s">
        <v>1393</v>
      </c>
      <c r="F201" s="13"/>
      <c r="G201" s="13"/>
      <c r="H201" s="13"/>
      <c r="I201" s="13"/>
      <c r="J201" s="13" t="s">
        <v>1477</v>
      </c>
      <c r="K201" s="6" t="s">
        <v>1122</v>
      </c>
      <c r="L201" s="25" t="s">
        <v>15</v>
      </c>
      <c r="M201" s="1" t="s">
        <v>922</v>
      </c>
      <c r="N201" s="1" t="s">
        <v>21</v>
      </c>
      <c r="O201" s="1" t="s">
        <v>13</v>
      </c>
      <c r="P201" s="26"/>
      <c r="Q201" s="1" t="s">
        <v>7</v>
      </c>
      <c r="R201" s="1" t="s">
        <v>17</v>
      </c>
      <c r="S201" s="1" t="s">
        <v>18</v>
      </c>
      <c r="T201" s="1" t="s">
        <v>361</v>
      </c>
      <c r="U201" s="1" t="s">
        <v>362</v>
      </c>
    </row>
    <row r="202" spans="1:21" ht="26.25" x14ac:dyDescent="0.25">
      <c r="A202" s="3" t="s">
        <v>646</v>
      </c>
      <c r="B202" s="2" t="s">
        <v>647</v>
      </c>
      <c r="C202" s="13"/>
      <c r="D202" s="14"/>
      <c r="E202" s="13" t="s">
        <v>1393</v>
      </c>
      <c r="F202" s="13"/>
      <c r="G202" s="13"/>
      <c r="H202" s="13"/>
      <c r="I202" s="13"/>
      <c r="J202" s="13" t="s">
        <v>1477</v>
      </c>
      <c r="K202" s="6" t="s">
        <v>1123</v>
      </c>
      <c r="L202" s="25" t="s">
        <v>15</v>
      </c>
      <c r="M202" s="1" t="s">
        <v>922</v>
      </c>
      <c r="N202" s="1" t="s">
        <v>21</v>
      </c>
      <c r="O202" s="1" t="s">
        <v>13</v>
      </c>
      <c r="P202" s="26"/>
      <c r="Q202" s="1" t="s">
        <v>7</v>
      </c>
      <c r="R202" s="1" t="s">
        <v>17</v>
      </c>
      <c r="S202" s="1" t="s">
        <v>18</v>
      </c>
      <c r="T202" s="1" t="s">
        <v>361</v>
      </c>
      <c r="U202" s="1" t="s">
        <v>362</v>
      </c>
    </row>
    <row r="203" spans="1:21" ht="26.25" x14ac:dyDescent="0.25">
      <c r="A203" s="3" t="s">
        <v>674</v>
      </c>
      <c r="B203" s="2" t="s">
        <v>675</v>
      </c>
      <c r="C203" s="13"/>
      <c r="D203" s="14"/>
      <c r="E203" s="13" t="s">
        <v>1393</v>
      </c>
      <c r="F203" s="13"/>
      <c r="G203" s="13"/>
      <c r="H203" s="13"/>
      <c r="I203" s="13"/>
      <c r="J203" s="13" t="s">
        <v>1477</v>
      </c>
      <c r="K203" s="6" t="s">
        <v>1124</v>
      </c>
      <c r="L203" s="25" t="s">
        <v>15</v>
      </c>
      <c r="M203" s="1" t="s">
        <v>922</v>
      </c>
      <c r="N203" s="1" t="s">
        <v>21</v>
      </c>
      <c r="O203" s="1" t="s">
        <v>13</v>
      </c>
      <c r="P203" s="26"/>
      <c r="Q203" s="1" t="s">
        <v>7</v>
      </c>
      <c r="R203" s="1" t="s">
        <v>17</v>
      </c>
      <c r="S203" s="1" t="s">
        <v>18</v>
      </c>
      <c r="T203" s="1" t="s">
        <v>361</v>
      </c>
      <c r="U203" s="1" t="s">
        <v>362</v>
      </c>
    </row>
    <row r="204" spans="1:21" ht="26.25" x14ac:dyDescent="0.25">
      <c r="A204" s="3" t="s">
        <v>660</v>
      </c>
      <c r="B204" s="2" t="s">
        <v>661</v>
      </c>
      <c r="C204" s="13" t="s">
        <v>1405</v>
      </c>
      <c r="D204" s="14"/>
      <c r="E204" s="13" t="s">
        <v>1372</v>
      </c>
      <c r="F204" s="13"/>
      <c r="G204" s="13"/>
      <c r="H204" s="13"/>
      <c r="I204" s="13" t="s">
        <v>916</v>
      </c>
      <c r="J204" s="13" t="s">
        <v>1474</v>
      </c>
      <c r="K204" s="6" t="s">
        <v>1125</v>
      </c>
      <c r="L204" s="25" t="s">
        <v>116</v>
      </c>
      <c r="M204" s="1" t="s">
        <v>922</v>
      </c>
      <c r="N204" s="1" t="s">
        <v>67</v>
      </c>
      <c r="O204" s="1" t="s">
        <v>68</v>
      </c>
      <c r="P204" s="26"/>
      <c r="Q204" s="1" t="s">
        <v>7</v>
      </c>
      <c r="R204" s="1" t="s">
        <v>63</v>
      </c>
      <c r="S204" s="1" t="s">
        <v>64</v>
      </c>
      <c r="T204" s="1" t="s">
        <v>65</v>
      </c>
      <c r="U204" s="1" t="s">
        <v>66</v>
      </c>
    </row>
    <row r="205" spans="1:21" ht="26.25" x14ac:dyDescent="0.25">
      <c r="A205" s="3" t="s">
        <v>906</v>
      </c>
      <c r="B205" s="2" t="s">
        <v>907</v>
      </c>
      <c r="C205" s="13" t="s">
        <v>1376</v>
      </c>
      <c r="D205" s="14" t="s">
        <v>1385</v>
      </c>
      <c r="E205" s="14" t="s">
        <v>1385</v>
      </c>
      <c r="F205" s="14" t="s">
        <v>1385</v>
      </c>
      <c r="G205" s="14" t="s">
        <v>1385</v>
      </c>
      <c r="H205" s="14" t="s">
        <v>1385</v>
      </c>
      <c r="I205" s="13"/>
      <c r="J205" s="13" t="s">
        <v>1471</v>
      </c>
      <c r="K205" s="6" t="str">
        <f>HYPERLINK("http://explorer.natureserve.org/servlet/NatureServe?searchSpeciesUid=ELEMENT_GLOBAL.2.109623")</f>
        <v>http://explorer.natureserve.org/servlet/NatureServe?searchSpeciesUid=ELEMENT_GLOBAL.2.109623</v>
      </c>
      <c r="L205" s="25" t="s">
        <v>82</v>
      </c>
      <c r="M205" s="1" t="s">
        <v>922</v>
      </c>
      <c r="N205" s="1" t="s">
        <v>67</v>
      </c>
      <c r="O205" s="1" t="s">
        <v>68</v>
      </c>
      <c r="P205" s="26"/>
      <c r="Q205" s="1" t="s">
        <v>7</v>
      </c>
      <c r="R205" s="1" t="s">
        <v>63</v>
      </c>
      <c r="S205" s="1" t="s">
        <v>64</v>
      </c>
      <c r="T205" s="1" t="s">
        <v>65</v>
      </c>
      <c r="U205" s="1" t="s">
        <v>66</v>
      </c>
    </row>
    <row r="206" spans="1:21" ht="26.25" x14ac:dyDescent="0.25">
      <c r="A206" s="3" t="s">
        <v>878</v>
      </c>
      <c r="B206" s="2" t="s">
        <v>879</v>
      </c>
      <c r="C206" s="13"/>
      <c r="D206" s="14" t="s">
        <v>1367</v>
      </c>
      <c r="E206" s="13"/>
      <c r="F206" s="13"/>
      <c r="G206" s="13"/>
      <c r="H206" s="13"/>
      <c r="I206" s="13"/>
      <c r="J206" s="13" t="s">
        <v>1474</v>
      </c>
      <c r="K206" s="6" t="str">
        <f>HYPERLINK("http://explorer.natureserve.org/servlet/NatureServe?searchSpeciesUid=ELEMENT_GLOBAL.2.116472")</f>
        <v>http://explorer.natureserve.org/servlet/NatureServe?searchSpeciesUid=ELEMENT_GLOBAL.2.116472</v>
      </c>
      <c r="L206" s="25" t="s">
        <v>62</v>
      </c>
      <c r="M206" s="1" t="s">
        <v>922</v>
      </c>
      <c r="N206" s="1" t="s">
        <v>67</v>
      </c>
      <c r="O206" s="1" t="s">
        <v>68</v>
      </c>
      <c r="P206" s="26"/>
      <c r="Q206" s="1" t="s">
        <v>7</v>
      </c>
      <c r="R206" s="1" t="s">
        <v>63</v>
      </c>
      <c r="S206" s="1" t="s">
        <v>64</v>
      </c>
      <c r="T206" s="1" t="s">
        <v>65</v>
      </c>
      <c r="U206" s="1" t="s">
        <v>66</v>
      </c>
    </row>
    <row r="207" spans="1:21" ht="26.25" x14ac:dyDescent="0.25">
      <c r="A207" s="3" t="s">
        <v>579</v>
      </c>
      <c r="B207" s="2" t="s">
        <v>580</v>
      </c>
      <c r="C207" s="13"/>
      <c r="D207" s="14"/>
      <c r="E207" s="13" t="s">
        <v>1383</v>
      </c>
      <c r="F207" s="13"/>
      <c r="G207" s="13"/>
      <c r="H207" s="13"/>
      <c r="I207" s="13"/>
      <c r="J207" s="13" t="s">
        <v>1473</v>
      </c>
      <c r="K207" s="6" t="s">
        <v>1126</v>
      </c>
      <c r="L207" s="25" t="s">
        <v>89</v>
      </c>
      <c r="M207" s="1" t="s">
        <v>915</v>
      </c>
      <c r="N207" s="1" t="s">
        <v>59</v>
      </c>
      <c r="O207" s="1" t="s">
        <v>32</v>
      </c>
      <c r="P207" s="26"/>
      <c r="Q207" s="1" t="s">
        <v>7</v>
      </c>
      <c r="R207" s="1" t="s">
        <v>55</v>
      </c>
      <c r="S207" s="1" t="s">
        <v>56</v>
      </c>
      <c r="T207" s="1" t="s">
        <v>57</v>
      </c>
      <c r="U207" s="1" t="s">
        <v>578</v>
      </c>
    </row>
    <row r="208" spans="1:21" ht="26.25" x14ac:dyDescent="0.25">
      <c r="A208" s="3" t="s">
        <v>500</v>
      </c>
      <c r="B208" s="2" t="s">
        <v>501</v>
      </c>
      <c r="C208" s="13" t="s">
        <v>1424</v>
      </c>
      <c r="D208" s="14" t="s">
        <v>1388</v>
      </c>
      <c r="E208" s="13" t="s">
        <v>1393</v>
      </c>
      <c r="F208" s="13" t="s">
        <v>1424</v>
      </c>
      <c r="G208" s="13" t="s">
        <v>1424</v>
      </c>
      <c r="H208" s="13" t="s">
        <v>1424</v>
      </c>
      <c r="I208" s="13" t="s">
        <v>1424</v>
      </c>
      <c r="J208" s="13" t="s">
        <v>1477</v>
      </c>
      <c r="K208" s="6" t="str">
        <f>HYPERLINK("http://explorer.natureserve.org/servlet/NatureServe?searchSpeciesUid=ELEMENT_GLOBAL.2.106446")</f>
        <v>http://explorer.natureserve.org/servlet/NatureServe?searchSpeciesUid=ELEMENT_GLOBAL.2.106446</v>
      </c>
      <c r="L208" s="25" t="s">
        <v>62</v>
      </c>
      <c r="M208" s="1" t="s">
        <v>915</v>
      </c>
      <c r="N208" s="1" t="s">
        <v>79</v>
      </c>
      <c r="O208" s="1" t="s">
        <v>32</v>
      </c>
      <c r="P208" s="26"/>
      <c r="Q208" s="1" t="s">
        <v>7</v>
      </c>
      <c r="R208" s="1" t="s">
        <v>55</v>
      </c>
      <c r="S208" s="1" t="s">
        <v>76</v>
      </c>
      <c r="T208" s="1" t="s">
        <v>498</v>
      </c>
      <c r="U208" s="1" t="s">
        <v>499</v>
      </c>
    </row>
    <row r="209" spans="1:21" ht="39" x14ac:dyDescent="0.25">
      <c r="A209" s="3" t="s">
        <v>470</v>
      </c>
      <c r="B209" s="2" t="s">
        <v>471</v>
      </c>
      <c r="C209" s="13" t="s">
        <v>1425</v>
      </c>
      <c r="D209" s="14" t="s">
        <v>1366</v>
      </c>
      <c r="E209" s="13" t="s">
        <v>1386</v>
      </c>
      <c r="F209" s="13" t="s">
        <v>1425</v>
      </c>
      <c r="G209" s="13"/>
      <c r="H209" s="13" t="s">
        <v>1425</v>
      </c>
      <c r="I209" s="13"/>
      <c r="J209" s="13" t="s">
        <v>1472</v>
      </c>
      <c r="K209" s="6" t="str">
        <f>HYPERLINK("http://explorer.natureserve.org/servlet/NatureServe?searchSpeciesUid=ELEMENT_GLOBAL.2.107377")</f>
        <v>http://explorer.natureserve.org/servlet/NatureServe?searchSpeciesUid=ELEMENT_GLOBAL.2.107377</v>
      </c>
      <c r="L209" s="25" t="s">
        <v>52</v>
      </c>
      <c r="M209" s="1" t="s">
        <v>922</v>
      </c>
      <c r="N209" s="1" t="s">
        <v>67</v>
      </c>
      <c r="O209" s="1" t="s">
        <v>68</v>
      </c>
      <c r="P209" s="26"/>
      <c r="Q209" s="1" t="s">
        <v>7</v>
      </c>
      <c r="R209" s="1" t="s">
        <v>63</v>
      </c>
      <c r="S209" s="1" t="s">
        <v>64</v>
      </c>
      <c r="T209" s="1" t="s">
        <v>65</v>
      </c>
      <c r="U209" s="1" t="s">
        <v>66</v>
      </c>
    </row>
    <row r="210" spans="1:21" ht="26.25" x14ac:dyDescent="0.25">
      <c r="A210" s="3" t="s">
        <v>864</v>
      </c>
      <c r="B210" s="2" t="s">
        <v>865</v>
      </c>
      <c r="C210" s="13" t="s">
        <v>1375</v>
      </c>
      <c r="D210" s="14"/>
      <c r="E210" s="13" t="s">
        <v>1375</v>
      </c>
      <c r="F210" s="13" t="s">
        <v>1374</v>
      </c>
      <c r="G210" s="13"/>
      <c r="H210" s="13"/>
      <c r="I210" s="13"/>
      <c r="J210" s="13" t="s">
        <v>1477</v>
      </c>
      <c r="K210" s="6" t="s">
        <v>1127</v>
      </c>
      <c r="L210" s="25" t="s">
        <v>62</v>
      </c>
      <c r="M210" s="1" t="s">
        <v>914</v>
      </c>
      <c r="N210" s="1" t="s">
        <v>189</v>
      </c>
      <c r="O210" s="1" t="s">
        <v>32</v>
      </c>
      <c r="P210" s="26"/>
      <c r="Q210" s="1" t="s">
        <v>105</v>
      </c>
      <c r="R210" s="1" t="s">
        <v>185</v>
      </c>
      <c r="S210" s="1" t="s">
        <v>200</v>
      </c>
      <c r="T210" s="1" t="s">
        <v>523</v>
      </c>
      <c r="U210" s="1" t="s">
        <v>524</v>
      </c>
    </row>
    <row r="211" spans="1:21" ht="26.25" x14ac:dyDescent="0.25">
      <c r="A211" s="7" t="s">
        <v>1129</v>
      </c>
      <c r="B211" s="8" t="s">
        <v>1130</v>
      </c>
      <c r="C211" s="13" t="s">
        <v>1397</v>
      </c>
      <c r="D211" s="14"/>
      <c r="E211" s="13"/>
      <c r="F211" s="13"/>
      <c r="G211" s="13" t="s">
        <v>151</v>
      </c>
      <c r="H211" s="13"/>
      <c r="I211" s="13"/>
      <c r="J211" s="13" t="s">
        <v>1474</v>
      </c>
      <c r="K211" s="6" t="s">
        <v>1128</v>
      </c>
      <c r="L211" s="25" t="s">
        <v>89</v>
      </c>
      <c r="M211" s="1" t="s">
        <v>914</v>
      </c>
      <c r="N211" s="1" t="s">
        <v>252</v>
      </c>
      <c r="O211" s="1" t="s">
        <v>32</v>
      </c>
      <c r="P211" s="26" t="s">
        <v>53</v>
      </c>
      <c r="Q211" s="1" t="s">
        <v>105</v>
      </c>
      <c r="R211" s="1" t="s">
        <v>185</v>
      </c>
      <c r="S211" s="1" t="s">
        <v>200</v>
      </c>
      <c r="T211" s="1" t="s">
        <v>250</v>
      </c>
      <c r="U211" s="1" t="s">
        <v>251</v>
      </c>
    </row>
    <row r="212" spans="1:21" ht="26.25" x14ac:dyDescent="0.25">
      <c r="A212" s="3" t="s">
        <v>428</v>
      </c>
      <c r="B212" s="2" t="s">
        <v>429</v>
      </c>
      <c r="C212" s="13" t="s">
        <v>1403</v>
      </c>
      <c r="D212" s="14"/>
      <c r="E212" s="13"/>
      <c r="F212" s="13"/>
      <c r="G212" s="13"/>
      <c r="H212" s="13"/>
      <c r="I212" s="13"/>
      <c r="J212" s="13" t="s">
        <v>1477</v>
      </c>
      <c r="K212" s="6" t="s">
        <v>1131</v>
      </c>
      <c r="L212" s="25" t="s">
        <v>89</v>
      </c>
      <c r="M212" s="1" t="s">
        <v>922</v>
      </c>
      <c r="N212" s="1" t="s">
        <v>12</v>
      </c>
      <c r="O212" s="1" t="s">
        <v>32</v>
      </c>
      <c r="P212" s="26"/>
      <c r="Q212" s="1" t="s">
        <v>7</v>
      </c>
      <c r="R212" s="1" t="s">
        <v>8</v>
      </c>
      <c r="S212" s="1" t="s">
        <v>9</v>
      </c>
      <c r="T212" s="1" t="s">
        <v>141</v>
      </c>
      <c r="U212" s="1" t="s">
        <v>427</v>
      </c>
    </row>
    <row r="213" spans="1:21" ht="26.25" x14ac:dyDescent="0.25">
      <c r="A213" s="3" t="s">
        <v>474</v>
      </c>
      <c r="B213" s="2" t="s">
        <v>475</v>
      </c>
      <c r="C213" s="13" t="s">
        <v>1395</v>
      </c>
      <c r="D213" s="14"/>
      <c r="E213" s="13" t="s">
        <v>1393</v>
      </c>
      <c r="F213" s="13" t="s">
        <v>1395</v>
      </c>
      <c r="G213" s="13"/>
      <c r="H213" s="13"/>
      <c r="I213" s="13" t="s">
        <v>1395</v>
      </c>
      <c r="J213" s="13" t="s">
        <v>1477</v>
      </c>
      <c r="K213" s="6" t="s">
        <v>1132</v>
      </c>
      <c r="L213" s="25" t="s">
        <v>62</v>
      </c>
      <c r="M213" s="1" t="s">
        <v>915</v>
      </c>
      <c r="N213" s="1" t="s">
        <v>86</v>
      </c>
      <c r="O213" s="1" t="s">
        <v>68</v>
      </c>
      <c r="P213" s="26"/>
      <c r="Q213" s="1" t="s">
        <v>7</v>
      </c>
      <c r="R213" s="1" t="s">
        <v>55</v>
      </c>
      <c r="S213" s="1" t="s">
        <v>83</v>
      </c>
      <c r="T213" s="1" t="s">
        <v>164</v>
      </c>
      <c r="U213" s="1" t="s">
        <v>165</v>
      </c>
    </row>
    <row r="214" spans="1:21" ht="26.25" x14ac:dyDescent="0.25">
      <c r="A214" s="3" t="s">
        <v>549</v>
      </c>
      <c r="B214" s="2" t="s">
        <v>550</v>
      </c>
      <c r="C214" s="13"/>
      <c r="D214" s="14" t="s">
        <v>1388</v>
      </c>
      <c r="E214" s="13"/>
      <c r="F214" s="13"/>
      <c r="G214" s="13"/>
      <c r="H214" s="13"/>
      <c r="I214" s="13"/>
      <c r="J214" s="13" t="s">
        <v>1477</v>
      </c>
      <c r="K214" s="6" t="str">
        <f>HYPERLINK("http://explorer.natureserve.org/servlet/NatureServe?searchSpeciesUid=ELEMENT_GLOBAL.2.100882")</f>
        <v>http://explorer.natureserve.org/servlet/NatureServe?searchSpeciesUid=ELEMENT_GLOBAL.2.100882</v>
      </c>
      <c r="L214" s="25" t="s">
        <v>62</v>
      </c>
      <c r="M214" s="1" t="s">
        <v>915</v>
      </c>
      <c r="N214" s="1" t="s">
        <v>86</v>
      </c>
      <c r="O214" s="1" t="s">
        <v>68</v>
      </c>
      <c r="P214" s="26"/>
      <c r="Q214" s="1" t="s">
        <v>7</v>
      </c>
      <c r="R214" s="1" t="s">
        <v>55</v>
      </c>
      <c r="S214" s="1" t="s">
        <v>83</v>
      </c>
      <c r="T214" s="1" t="s">
        <v>164</v>
      </c>
      <c r="U214" s="1" t="s">
        <v>165</v>
      </c>
    </row>
    <row r="215" spans="1:21" ht="26.25" x14ac:dyDescent="0.25">
      <c r="A215" s="3" t="s">
        <v>768</v>
      </c>
      <c r="B215" s="2" t="s">
        <v>769</v>
      </c>
      <c r="C215" s="13" t="s">
        <v>1403</v>
      </c>
      <c r="D215" s="14" t="s">
        <v>1420</v>
      </c>
      <c r="E215" s="14" t="s">
        <v>1420</v>
      </c>
      <c r="F215" s="14" t="s">
        <v>1420</v>
      </c>
      <c r="G215" s="13"/>
      <c r="H215" s="14" t="s">
        <v>1420</v>
      </c>
      <c r="I215" s="13"/>
      <c r="J215" s="13" t="s">
        <v>1477</v>
      </c>
      <c r="K215" s="6" t="str">
        <f>HYPERLINK("http://explorer.natureserve.org/servlet/NatureServe?searchSpeciesUid=ELEMENT_GLOBAL.2.104729")</f>
        <v>http://explorer.natureserve.org/servlet/NatureServe?searchSpeciesUid=ELEMENT_GLOBAL.2.104729</v>
      </c>
      <c r="L215" s="25" t="s">
        <v>62</v>
      </c>
      <c r="M215" s="1" t="s">
        <v>915</v>
      </c>
      <c r="N215" s="1" t="s">
        <v>79</v>
      </c>
      <c r="O215" s="1" t="s">
        <v>32</v>
      </c>
      <c r="P215" s="26"/>
      <c r="Q215" s="1" t="s">
        <v>7</v>
      </c>
      <c r="R215" s="1" t="s">
        <v>55</v>
      </c>
      <c r="S215" s="1" t="s">
        <v>76</v>
      </c>
      <c r="T215" s="1" t="s">
        <v>130</v>
      </c>
      <c r="U215" s="1" t="s">
        <v>131</v>
      </c>
    </row>
    <row r="216" spans="1:21" ht="26.25" x14ac:dyDescent="0.25">
      <c r="A216" s="3" t="s">
        <v>345</v>
      </c>
      <c r="B216" s="2" t="s">
        <v>346</v>
      </c>
      <c r="C216" s="13" t="s">
        <v>1387</v>
      </c>
      <c r="D216" s="13" t="s">
        <v>1387</v>
      </c>
      <c r="E216" s="13" t="s">
        <v>1386</v>
      </c>
      <c r="F216" s="13"/>
      <c r="G216" s="13" t="s">
        <v>1387</v>
      </c>
      <c r="H216" s="13"/>
      <c r="I216" s="13"/>
      <c r="J216" s="13" t="s">
        <v>1471</v>
      </c>
      <c r="K216" s="6" t="str">
        <f>HYPERLINK("http://explorer.natureserve.org/servlet/NatureServe?searchSpeciesUid=ELEMENT_GLOBAL.2.120738")</f>
        <v>http://explorer.natureserve.org/servlet/NatureServe?searchSpeciesUid=ELEMENT_GLOBAL.2.120738</v>
      </c>
      <c r="L216" s="25" t="s">
        <v>62</v>
      </c>
      <c r="M216" s="1" t="s">
        <v>922</v>
      </c>
      <c r="N216" s="1" t="s">
        <v>12</v>
      </c>
      <c r="O216" s="1" t="s">
        <v>32</v>
      </c>
      <c r="P216" s="26"/>
      <c r="Q216" s="1" t="s">
        <v>7</v>
      </c>
      <c r="R216" s="1" t="s">
        <v>8</v>
      </c>
      <c r="S216" s="1" t="s">
        <v>9</v>
      </c>
      <c r="T216" s="1" t="s">
        <v>207</v>
      </c>
      <c r="U216" s="1" t="s">
        <v>208</v>
      </c>
    </row>
    <row r="217" spans="1:21" ht="26.25" x14ac:dyDescent="0.25">
      <c r="A217" s="3" t="s">
        <v>395</v>
      </c>
      <c r="B217" s="2" t="s">
        <v>396</v>
      </c>
      <c r="C217" s="13"/>
      <c r="D217" s="14" t="s">
        <v>1367</v>
      </c>
      <c r="E217" s="13"/>
      <c r="F217" s="13"/>
      <c r="G217" s="13"/>
      <c r="H217" s="13"/>
      <c r="I217" s="13"/>
      <c r="J217" s="13" t="s">
        <v>1474</v>
      </c>
      <c r="K217" s="6" t="str">
        <f>HYPERLINK("http://explorer.natureserve.org/servlet/NatureServe?searchSpeciesUid=ELEMENT_GLOBAL.2.117973")</f>
        <v>http://explorer.natureserve.org/servlet/NatureServe?searchSpeciesUid=ELEMENT_GLOBAL.2.117973</v>
      </c>
      <c r="L217" s="25" t="s">
        <v>89</v>
      </c>
      <c r="M217" s="1" t="s">
        <v>922</v>
      </c>
      <c r="N217" s="1" t="s">
        <v>67</v>
      </c>
      <c r="O217" s="1" t="s">
        <v>68</v>
      </c>
      <c r="P217" s="26"/>
      <c r="Q217" s="1" t="s">
        <v>7</v>
      </c>
      <c r="R217" s="1" t="s">
        <v>63</v>
      </c>
      <c r="S217" s="1" t="s">
        <v>64</v>
      </c>
      <c r="T217" s="1" t="s">
        <v>65</v>
      </c>
      <c r="U217" s="1" t="s">
        <v>66</v>
      </c>
    </row>
    <row r="218" spans="1:21" ht="26.25" x14ac:dyDescent="0.25">
      <c r="A218" s="3" t="s">
        <v>217</v>
      </c>
      <c r="B218" s="2" t="s">
        <v>218</v>
      </c>
      <c r="C218" s="13" t="s">
        <v>151</v>
      </c>
      <c r="D218" s="14" t="s">
        <v>1366</v>
      </c>
      <c r="E218" s="13" t="s">
        <v>151</v>
      </c>
      <c r="F218" s="13" t="s">
        <v>151</v>
      </c>
      <c r="G218" s="13" t="s">
        <v>151</v>
      </c>
      <c r="H218" s="13" t="s">
        <v>151</v>
      </c>
      <c r="I218" s="13" t="s">
        <v>151</v>
      </c>
      <c r="J218" s="29" t="s">
        <v>1470</v>
      </c>
      <c r="K218" s="6" t="str">
        <f>HYPERLINK("http://explorer.natureserve.org/servlet/NatureServe?searchSpeciesUid=ELEMENT_GLOBAL.2.119053")</f>
        <v>http://explorer.natureserve.org/servlet/NatureServe?searchSpeciesUid=ELEMENT_GLOBAL.2.119053</v>
      </c>
      <c r="L218" s="25" t="s">
        <v>62</v>
      </c>
      <c r="M218" s="1" t="s">
        <v>922</v>
      </c>
      <c r="N218" s="1" t="s">
        <v>67</v>
      </c>
      <c r="O218" s="1" t="s">
        <v>68</v>
      </c>
      <c r="P218" s="26"/>
      <c r="Q218" s="1" t="s">
        <v>7</v>
      </c>
      <c r="R218" s="1" t="s">
        <v>63</v>
      </c>
      <c r="S218" s="1" t="s">
        <v>64</v>
      </c>
      <c r="T218" s="1" t="s">
        <v>65</v>
      </c>
      <c r="U218" s="1" t="s">
        <v>66</v>
      </c>
    </row>
    <row r="219" spans="1:21" ht="26.25" x14ac:dyDescent="0.25">
      <c r="A219" s="3" t="s">
        <v>809</v>
      </c>
      <c r="B219" s="2" t="s">
        <v>810</v>
      </c>
      <c r="C219" s="13"/>
      <c r="D219" s="14"/>
      <c r="E219" s="13" t="s">
        <v>1393</v>
      </c>
      <c r="F219" s="13" t="s">
        <v>1395</v>
      </c>
      <c r="G219" s="13"/>
      <c r="H219" s="13"/>
      <c r="I219" s="13"/>
      <c r="J219" s="13" t="s">
        <v>1477</v>
      </c>
      <c r="K219" s="6" t="s">
        <v>1133</v>
      </c>
      <c r="L219" s="25" t="s">
        <v>89</v>
      </c>
      <c r="M219" s="1" t="s">
        <v>915</v>
      </c>
      <c r="N219" s="1" t="s">
        <v>59</v>
      </c>
      <c r="O219" s="1" t="s">
        <v>32</v>
      </c>
      <c r="P219" s="26"/>
      <c r="Q219" s="1" t="s">
        <v>7</v>
      </c>
      <c r="R219" s="1" t="s">
        <v>55</v>
      </c>
      <c r="S219" s="1" t="s">
        <v>56</v>
      </c>
      <c r="T219" s="1" t="s">
        <v>57</v>
      </c>
      <c r="U219" s="1" t="s">
        <v>236</v>
      </c>
    </row>
    <row r="220" spans="1:21" ht="26.25" x14ac:dyDescent="0.25">
      <c r="A220" s="3" t="s">
        <v>1321</v>
      </c>
      <c r="B220" s="2" t="s">
        <v>29</v>
      </c>
      <c r="C220" s="13"/>
      <c r="D220" s="14"/>
      <c r="E220" s="13" t="s">
        <v>1393</v>
      </c>
      <c r="F220" s="13"/>
      <c r="G220" s="13"/>
      <c r="H220" s="13"/>
      <c r="I220" s="13"/>
      <c r="J220" s="13" t="s">
        <v>1477</v>
      </c>
      <c r="K220" s="6" t="s">
        <v>1134</v>
      </c>
      <c r="L220" s="25" t="s">
        <v>15</v>
      </c>
      <c r="M220" s="1" t="s">
        <v>922</v>
      </c>
      <c r="N220" s="1" t="s">
        <v>21</v>
      </c>
      <c r="O220" s="1" t="s">
        <v>13</v>
      </c>
      <c r="P220" s="26"/>
      <c r="Q220" s="1" t="s">
        <v>7</v>
      </c>
      <c r="R220" s="1" t="s">
        <v>8</v>
      </c>
      <c r="S220" s="1" t="s">
        <v>27</v>
      </c>
      <c r="T220" s="1" t="s">
        <v>27</v>
      </c>
      <c r="U220" s="1" t="s">
        <v>28</v>
      </c>
    </row>
    <row r="221" spans="1:21" ht="26.25" x14ac:dyDescent="0.25">
      <c r="A221" s="3" t="s">
        <v>281</v>
      </c>
      <c r="B221" s="2" t="s">
        <v>282</v>
      </c>
      <c r="C221" s="13"/>
      <c r="D221" s="14" t="s">
        <v>1367</v>
      </c>
      <c r="E221" s="13"/>
      <c r="F221" s="13"/>
      <c r="G221" s="13"/>
      <c r="H221" s="13"/>
      <c r="I221" s="13"/>
      <c r="J221" s="13" t="s">
        <v>1474</v>
      </c>
      <c r="K221" s="6" t="str">
        <f>HYPERLINK("http://explorer.natureserve.org/servlet/NatureServe?searchSpeciesUid=ELEMENT_GLOBAL.2.101577")</f>
        <v>http://explorer.natureserve.org/servlet/NatureServe?searchSpeciesUid=ELEMENT_GLOBAL.2.101577</v>
      </c>
      <c r="L221" s="25" t="s">
        <v>62</v>
      </c>
      <c r="M221" s="1" t="s">
        <v>915</v>
      </c>
      <c r="N221" s="1" t="s">
        <v>86</v>
      </c>
      <c r="O221" s="1" t="s">
        <v>68</v>
      </c>
      <c r="P221" s="26"/>
      <c r="Q221" s="1" t="s">
        <v>7</v>
      </c>
      <c r="R221" s="1" t="s">
        <v>55</v>
      </c>
      <c r="S221" s="1" t="s">
        <v>83</v>
      </c>
      <c r="T221" s="1" t="s">
        <v>279</v>
      </c>
      <c r="U221" s="1" t="s">
        <v>280</v>
      </c>
    </row>
    <row r="222" spans="1:21" ht="26.25" x14ac:dyDescent="0.25">
      <c r="A222" s="3" t="s">
        <v>697</v>
      </c>
      <c r="B222" s="2" t="s">
        <v>698</v>
      </c>
      <c r="C222" s="13" t="s">
        <v>151</v>
      </c>
      <c r="D222" s="14" t="s">
        <v>151</v>
      </c>
      <c r="E222" s="13" t="s">
        <v>151</v>
      </c>
      <c r="F222" s="13" t="s">
        <v>1402</v>
      </c>
      <c r="G222" s="13" t="s">
        <v>151</v>
      </c>
      <c r="H222" s="13" t="s">
        <v>151</v>
      </c>
      <c r="I222" s="13" t="s">
        <v>151</v>
      </c>
      <c r="J222" s="13" t="s">
        <v>1471</v>
      </c>
      <c r="K222" s="6" t="str">
        <f>HYPERLINK("http://explorer.natureserve.org/servlet/NatureServe?searchSpeciesUid=ELEMENT_GLOBAL.2.103114")</f>
        <v>http://explorer.natureserve.org/servlet/NatureServe?searchSpeciesUid=ELEMENT_GLOBAL.2.103114</v>
      </c>
      <c r="L222" s="25" t="s">
        <v>62</v>
      </c>
      <c r="M222" s="1" t="s">
        <v>915</v>
      </c>
      <c r="N222" s="1" t="s">
        <v>59</v>
      </c>
      <c r="O222" s="1" t="s">
        <v>32</v>
      </c>
      <c r="P222" s="26"/>
      <c r="Q222" s="1" t="s">
        <v>7</v>
      </c>
      <c r="R222" s="1" t="s">
        <v>55</v>
      </c>
      <c r="S222" s="1" t="s">
        <v>56</v>
      </c>
      <c r="T222" s="1" t="s">
        <v>57</v>
      </c>
      <c r="U222" s="1" t="s">
        <v>696</v>
      </c>
    </row>
    <row r="223" spans="1:21" ht="39" x14ac:dyDescent="0.25">
      <c r="A223" s="3" t="s">
        <v>243</v>
      </c>
      <c r="B223" s="2" t="s">
        <v>244</v>
      </c>
      <c r="C223" s="13" t="s">
        <v>1376</v>
      </c>
      <c r="D223" s="14" t="s">
        <v>1426</v>
      </c>
      <c r="E223" s="13" t="s">
        <v>1372</v>
      </c>
      <c r="F223" s="13"/>
      <c r="G223" s="14" t="s">
        <v>1426</v>
      </c>
      <c r="H223" s="14" t="s">
        <v>1426</v>
      </c>
      <c r="I223" s="13"/>
      <c r="J223" s="13" t="s">
        <v>1475</v>
      </c>
      <c r="K223" s="6" t="str">
        <f>HYPERLINK("http://explorer.natureserve.org/servlet/NatureServe?searchSpeciesUid=ELEMENT_GLOBAL.2.114963")</f>
        <v>http://explorer.natureserve.org/servlet/NatureServe?searchSpeciesUid=ELEMENT_GLOBAL.2.114963</v>
      </c>
      <c r="L223" s="25" t="s">
        <v>245</v>
      </c>
      <c r="M223" s="1" t="s">
        <v>922</v>
      </c>
      <c r="N223" s="1" t="s">
        <v>12</v>
      </c>
      <c r="O223" s="1" t="s">
        <v>32</v>
      </c>
      <c r="P223" s="26"/>
      <c r="Q223" s="1" t="s">
        <v>7</v>
      </c>
      <c r="R223" s="1" t="s">
        <v>8</v>
      </c>
      <c r="S223" s="1" t="s">
        <v>9</v>
      </c>
      <c r="T223" s="1" t="s">
        <v>141</v>
      </c>
      <c r="U223" s="1" t="s">
        <v>242</v>
      </c>
    </row>
    <row r="224" spans="1:21" ht="26.25" x14ac:dyDescent="0.25">
      <c r="A224" s="3" t="s">
        <v>706</v>
      </c>
      <c r="B224" s="2" t="s">
        <v>707</v>
      </c>
      <c r="C224" s="13" t="s">
        <v>1378</v>
      </c>
      <c r="D224" s="14"/>
      <c r="E224" s="13" t="s">
        <v>1379</v>
      </c>
      <c r="F224" s="13"/>
      <c r="G224" s="13"/>
      <c r="H224" s="13"/>
      <c r="I224" s="13" t="s">
        <v>1378</v>
      </c>
      <c r="J224" s="29" t="s">
        <v>1470</v>
      </c>
      <c r="K224" s="6" t="s">
        <v>1135</v>
      </c>
      <c r="L224" s="25" t="s">
        <v>52</v>
      </c>
      <c r="M224" s="1" t="s">
        <v>915</v>
      </c>
      <c r="N224" s="1" t="s">
        <v>86</v>
      </c>
      <c r="O224" s="1" t="s">
        <v>68</v>
      </c>
      <c r="P224" s="26"/>
      <c r="Q224" s="1" t="s">
        <v>7</v>
      </c>
      <c r="R224" s="1" t="s">
        <v>55</v>
      </c>
      <c r="S224" s="1" t="s">
        <v>83</v>
      </c>
      <c r="T224" s="1" t="s">
        <v>213</v>
      </c>
      <c r="U224" s="1" t="s">
        <v>516</v>
      </c>
    </row>
    <row r="225" spans="1:21" ht="26.25" x14ac:dyDescent="0.25">
      <c r="A225" s="3" t="s">
        <v>421</v>
      </c>
      <c r="B225" s="2" t="s">
        <v>422</v>
      </c>
      <c r="C225" s="13" t="s">
        <v>1376</v>
      </c>
      <c r="D225" s="14" t="s">
        <v>1385</v>
      </c>
      <c r="E225" s="13"/>
      <c r="F225" s="13"/>
      <c r="G225" s="14" t="s">
        <v>1385</v>
      </c>
      <c r="H225" s="13"/>
      <c r="I225" s="13"/>
      <c r="J225" s="13" t="s">
        <v>1471</v>
      </c>
      <c r="K225" s="6" t="str">
        <f>HYPERLINK("http://explorer.natureserve.org/servlet/NatureServe?searchSpeciesUid=ELEMENT_GLOBAL.2.137069")</f>
        <v>http://explorer.natureserve.org/servlet/NatureServe?searchSpeciesUid=ELEMENT_GLOBAL.2.137069</v>
      </c>
      <c r="L225" s="25" t="s">
        <v>62</v>
      </c>
      <c r="M225" s="1" t="s">
        <v>914</v>
      </c>
      <c r="N225" s="1" t="s">
        <v>189</v>
      </c>
      <c r="O225" s="1" t="s">
        <v>32</v>
      </c>
      <c r="P225" s="26"/>
      <c r="Q225" s="1" t="s">
        <v>105</v>
      </c>
      <c r="R225" s="1" t="s">
        <v>185</v>
      </c>
      <c r="S225" s="1" t="s">
        <v>186</v>
      </c>
      <c r="T225" s="1" t="s">
        <v>419</v>
      </c>
      <c r="U225" s="1" t="s">
        <v>420</v>
      </c>
    </row>
    <row r="226" spans="1:21" ht="26.25" x14ac:dyDescent="0.25">
      <c r="A226" s="3" t="s">
        <v>393</v>
      </c>
      <c r="B226" s="2" t="s">
        <v>394</v>
      </c>
      <c r="C226" s="13" t="s">
        <v>1365</v>
      </c>
      <c r="D226" s="14" t="s">
        <v>1366</v>
      </c>
      <c r="E226" s="13"/>
      <c r="F226" s="13"/>
      <c r="G226" s="13" t="s">
        <v>1416</v>
      </c>
      <c r="H226" s="13"/>
      <c r="I226" s="13"/>
      <c r="J226" s="29" t="s">
        <v>1470</v>
      </c>
      <c r="K226" s="6" t="str">
        <f>HYPERLINK("http://explorer.natureserve.org/servlet/NatureServe?searchSpeciesUid=ELEMENT_GLOBAL.2.115572")</f>
        <v>http://explorer.natureserve.org/servlet/NatureServe?searchSpeciesUid=ELEMENT_GLOBAL.2.115572</v>
      </c>
      <c r="L226" s="25" t="s">
        <v>89</v>
      </c>
      <c r="M226" s="1" t="s">
        <v>922</v>
      </c>
      <c r="N226" s="1" t="s">
        <v>67</v>
      </c>
      <c r="O226" s="1" t="s">
        <v>68</v>
      </c>
      <c r="P226" s="26"/>
      <c r="Q226" s="1" t="s">
        <v>7</v>
      </c>
      <c r="R226" s="1" t="s">
        <v>63</v>
      </c>
      <c r="S226" s="1" t="s">
        <v>64</v>
      </c>
      <c r="T226" s="1" t="s">
        <v>65</v>
      </c>
      <c r="U226" s="1" t="s">
        <v>66</v>
      </c>
    </row>
    <row r="227" spans="1:21" ht="26.25" x14ac:dyDescent="0.25">
      <c r="A227" s="3" t="s">
        <v>586</v>
      </c>
      <c r="B227" s="2" t="s">
        <v>587</v>
      </c>
      <c r="C227" s="13" t="s">
        <v>1405</v>
      </c>
      <c r="D227" s="14"/>
      <c r="E227" s="13" t="s">
        <v>1372</v>
      </c>
      <c r="F227" s="13"/>
      <c r="G227" s="13"/>
      <c r="H227" s="13"/>
      <c r="I227" s="13"/>
      <c r="J227" s="13" t="s">
        <v>1474</v>
      </c>
      <c r="K227" s="6" t="s">
        <v>1136</v>
      </c>
      <c r="L227" s="25" t="s">
        <v>116</v>
      </c>
      <c r="M227" s="1" t="s">
        <v>914</v>
      </c>
      <c r="N227" s="1" t="s">
        <v>189</v>
      </c>
      <c r="O227" s="1" t="s">
        <v>32</v>
      </c>
      <c r="P227" s="26"/>
      <c r="Q227" s="1" t="s">
        <v>105</v>
      </c>
      <c r="R227" s="1" t="s">
        <v>185</v>
      </c>
      <c r="S227" s="1" t="s">
        <v>200</v>
      </c>
      <c r="T227" s="1" t="s">
        <v>246</v>
      </c>
      <c r="U227" s="1" t="s">
        <v>247</v>
      </c>
    </row>
    <row r="228" spans="1:21" ht="26.25" x14ac:dyDescent="0.25">
      <c r="A228" s="3" t="s">
        <v>92</v>
      </c>
      <c r="B228" s="2" t="s">
        <v>93</v>
      </c>
      <c r="C228" s="13"/>
      <c r="D228" s="14" t="s">
        <v>1367</v>
      </c>
      <c r="E228" s="13"/>
      <c r="F228" s="13"/>
      <c r="G228" s="13"/>
      <c r="H228" s="13"/>
      <c r="I228" s="13"/>
      <c r="J228" s="13" t="s">
        <v>1474</v>
      </c>
      <c r="K228" s="6" t="str">
        <f>HYPERLINK("http://explorer.natureserve.org/servlet/NatureServe?searchSpeciesUid=ELEMENT_GLOBAL.2.887112")</f>
        <v>http://explorer.natureserve.org/servlet/NatureServe?searchSpeciesUid=ELEMENT_GLOBAL.2.887112</v>
      </c>
      <c r="L228" s="25" t="s">
        <v>62</v>
      </c>
      <c r="M228" s="1" t="s">
        <v>915</v>
      </c>
      <c r="N228" s="1" t="s">
        <v>79</v>
      </c>
      <c r="O228" s="1" t="s">
        <v>32</v>
      </c>
      <c r="P228" s="26"/>
      <c r="Q228" s="1" t="s">
        <v>7</v>
      </c>
      <c r="R228" s="1" t="s">
        <v>55</v>
      </c>
      <c r="S228" s="1" t="s">
        <v>76</v>
      </c>
      <c r="T228" s="1" t="s">
        <v>90</v>
      </c>
      <c r="U228" s="1" t="s">
        <v>91</v>
      </c>
    </row>
    <row r="229" spans="1:21" ht="26.25" x14ac:dyDescent="0.25">
      <c r="A229" s="3" t="s">
        <v>1137</v>
      </c>
      <c r="B229" s="2" t="s">
        <v>430</v>
      </c>
      <c r="C229" s="13" t="s">
        <v>1395</v>
      </c>
      <c r="D229" s="13" t="s">
        <v>1395</v>
      </c>
      <c r="E229" s="13" t="s">
        <v>1393</v>
      </c>
      <c r="F229" s="13" t="s">
        <v>1395</v>
      </c>
      <c r="G229" s="13"/>
      <c r="H229" s="13" t="s">
        <v>1395</v>
      </c>
      <c r="I229" s="13"/>
      <c r="J229" s="13" t="s">
        <v>1477</v>
      </c>
      <c r="K229" s="6" t="str">
        <f>HYPERLINK("http://explorer.natureserve.org/servlet/NatureServe?searchSpeciesUid=ELEMENT_GLOBAL.2.103714")</f>
        <v>http://explorer.natureserve.org/servlet/NatureServe?searchSpeciesUid=ELEMENT_GLOBAL.2.103714</v>
      </c>
      <c r="L229" s="25" t="s">
        <v>62</v>
      </c>
      <c r="M229" s="1" t="s">
        <v>915</v>
      </c>
      <c r="N229" s="1" t="s">
        <v>79</v>
      </c>
      <c r="O229" s="1" t="s">
        <v>32</v>
      </c>
      <c r="P229" s="26"/>
      <c r="Q229" s="1" t="s">
        <v>7</v>
      </c>
      <c r="R229" s="1" t="s">
        <v>55</v>
      </c>
      <c r="S229" s="1" t="s">
        <v>76</v>
      </c>
      <c r="T229" s="1" t="s">
        <v>90</v>
      </c>
      <c r="U229" s="1" t="s">
        <v>91</v>
      </c>
    </row>
    <row r="230" spans="1:21" ht="26.25" x14ac:dyDescent="0.25">
      <c r="A230" s="3" t="s">
        <v>746</v>
      </c>
      <c r="B230" s="2" t="s">
        <v>747</v>
      </c>
      <c r="C230" s="13"/>
      <c r="D230" s="14"/>
      <c r="E230" s="13" t="s">
        <v>1386</v>
      </c>
      <c r="F230" s="13" t="s">
        <v>1387</v>
      </c>
      <c r="G230" s="13"/>
      <c r="H230" s="13"/>
      <c r="I230" s="13"/>
      <c r="J230" s="13" t="s">
        <v>1471</v>
      </c>
      <c r="K230" s="6" t="s">
        <v>1138</v>
      </c>
      <c r="L230" s="25" t="s">
        <v>116</v>
      </c>
      <c r="M230" s="1" t="s">
        <v>922</v>
      </c>
      <c r="N230" s="1" t="s">
        <v>12</v>
      </c>
      <c r="O230" s="1" t="s">
        <v>32</v>
      </c>
      <c r="P230" s="26"/>
      <c r="Q230" s="1" t="s">
        <v>7</v>
      </c>
      <c r="R230" s="1" t="s">
        <v>8</v>
      </c>
      <c r="S230" s="1" t="s">
        <v>9</v>
      </c>
      <c r="T230" s="1" t="s">
        <v>48</v>
      </c>
      <c r="U230" s="1" t="s">
        <v>745</v>
      </c>
    </row>
    <row r="231" spans="1:21" ht="26.25" x14ac:dyDescent="0.25">
      <c r="A231" s="3" t="s">
        <v>1140</v>
      </c>
      <c r="B231" s="2" t="s">
        <v>1141</v>
      </c>
      <c r="C231" s="13"/>
      <c r="D231" s="14"/>
      <c r="E231" s="13"/>
      <c r="F231" s="13"/>
      <c r="G231" s="13" t="s">
        <v>1391</v>
      </c>
      <c r="H231" s="13"/>
      <c r="I231" s="13"/>
      <c r="J231" s="13" t="s">
        <v>1474</v>
      </c>
      <c r="K231" s="6" t="s">
        <v>1139</v>
      </c>
      <c r="L231" s="25" t="s">
        <v>245</v>
      </c>
      <c r="M231" s="1" t="s">
        <v>914</v>
      </c>
      <c r="N231" s="1" t="s">
        <v>189</v>
      </c>
      <c r="O231" s="1" t="s">
        <v>32</v>
      </c>
      <c r="P231" s="26"/>
      <c r="Q231" s="1" t="s">
        <v>105</v>
      </c>
      <c r="R231" s="1" t="s">
        <v>185</v>
      </c>
      <c r="S231" s="1" t="s">
        <v>200</v>
      </c>
      <c r="T231" s="1" t="s">
        <v>246</v>
      </c>
      <c r="U231" s="1" t="s">
        <v>247</v>
      </c>
    </row>
    <row r="232" spans="1:21" ht="26.25" x14ac:dyDescent="0.25">
      <c r="A232" s="3" t="s">
        <v>775</v>
      </c>
      <c r="B232" s="2" t="s">
        <v>776</v>
      </c>
      <c r="C232" s="13"/>
      <c r="D232" s="14"/>
      <c r="E232" s="13" t="s">
        <v>1372</v>
      </c>
      <c r="F232" s="13" t="s">
        <v>1405</v>
      </c>
      <c r="G232" s="13"/>
      <c r="H232" s="13" t="s">
        <v>1405</v>
      </c>
      <c r="I232" s="13"/>
      <c r="J232" s="13" t="s">
        <v>1474</v>
      </c>
      <c r="K232" s="6" t="s">
        <v>1142</v>
      </c>
      <c r="L232" s="25" t="s">
        <v>777</v>
      </c>
      <c r="M232" s="1" t="s">
        <v>915</v>
      </c>
      <c r="N232" s="1" t="s">
        <v>79</v>
      </c>
      <c r="O232" s="1" t="s">
        <v>32</v>
      </c>
      <c r="P232" s="26"/>
      <c r="Q232" s="1" t="s">
        <v>7</v>
      </c>
      <c r="R232" s="1" t="s">
        <v>55</v>
      </c>
      <c r="S232" s="1" t="s">
        <v>76</v>
      </c>
      <c r="T232" s="1" t="s">
        <v>77</v>
      </c>
      <c r="U232" s="1" t="s">
        <v>78</v>
      </c>
    </row>
    <row r="233" spans="1:21" ht="26.25" x14ac:dyDescent="0.25">
      <c r="A233" s="3" t="s">
        <v>605</v>
      </c>
      <c r="B233" s="2" t="s">
        <v>606</v>
      </c>
      <c r="C233" s="13" t="s">
        <v>1427</v>
      </c>
      <c r="D233" s="14"/>
      <c r="E233" s="13"/>
      <c r="F233" s="13" t="s">
        <v>1422</v>
      </c>
      <c r="G233" s="13"/>
      <c r="H233" s="13" t="s">
        <v>1427</v>
      </c>
      <c r="I233" s="13"/>
      <c r="J233" s="29" t="s">
        <v>1470</v>
      </c>
      <c r="K233" s="6" t="s">
        <v>1143</v>
      </c>
      <c r="L233" s="25" t="s">
        <v>62</v>
      </c>
      <c r="M233" s="1" t="s">
        <v>914</v>
      </c>
      <c r="N233" s="1" t="s">
        <v>189</v>
      </c>
      <c r="O233" s="1" t="s">
        <v>32</v>
      </c>
      <c r="P233" s="26"/>
      <c r="Q233" s="1" t="s">
        <v>105</v>
      </c>
      <c r="R233" s="1" t="s">
        <v>185</v>
      </c>
      <c r="S233" s="1" t="s">
        <v>200</v>
      </c>
      <c r="T233" s="1" t="s">
        <v>603</v>
      </c>
      <c r="U233" s="1" t="s">
        <v>604</v>
      </c>
    </row>
    <row r="234" spans="1:21" ht="26.25" x14ac:dyDescent="0.25">
      <c r="A234" s="3" t="s">
        <v>215</v>
      </c>
      <c r="B234" s="2" t="s">
        <v>216</v>
      </c>
      <c r="C234" s="13"/>
      <c r="D234" s="14" t="s">
        <v>1388</v>
      </c>
      <c r="E234" s="13"/>
      <c r="F234" s="13"/>
      <c r="G234" s="13" t="s">
        <v>151</v>
      </c>
      <c r="H234" s="13"/>
      <c r="I234" s="13"/>
      <c r="J234" s="13" t="s">
        <v>1477</v>
      </c>
      <c r="K234" s="6" t="str">
        <f>HYPERLINK("http://explorer.natureserve.org/servlet/NatureServe?searchSpeciesUid=ELEMENT_GLOBAL.2.100378")</f>
        <v>http://explorer.natureserve.org/servlet/NatureServe?searchSpeciesUid=ELEMENT_GLOBAL.2.100378</v>
      </c>
      <c r="L234" s="25" t="s">
        <v>62</v>
      </c>
      <c r="M234" s="1" t="s">
        <v>915</v>
      </c>
      <c r="N234" s="1" t="s">
        <v>86</v>
      </c>
      <c r="O234" s="1" t="s">
        <v>68</v>
      </c>
      <c r="P234" s="26"/>
      <c r="Q234" s="1" t="s">
        <v>7</v>
      </c>
      <c r="R234" s="1" t="s">
        <v>55</v>
      </c>
      <c r="S234" s="1" t="s">
        <v>83</v>
      </c>
      <c r="T234" s="1" t="s">
        <v>213</v>
      </c>
      <c r="U234" s="1" t="s">
        <v>214</v>
      </c>
    </row>
    <row r="235" spans="1:21" ht="26.25" x14ac:dyDescent="0.25">
      <c r="A235" s="3" t="s">
        <v>417</v>
      </c>
      <c r="B235" s="2" t="s">
        <v>418</v>
      </c>
      <c r="C235" s="13" t="s">
        <v>1365</v>
      </c>
      <c r="D235" s="14"/>
      <c r="E235" s="13"/>
      <c r="F235" s="13"/>
      <c r="G235" s="13"/>
      <c r="H235" s="13"/>
      <c r="I235" s="13"/>
      <c r="J235" s="29" t="s">
        <v>1470</v>
      </c>
      <c r="K235" s="6" t="s">
        <v>1144</v>
      </c>
      <c r="L235" s="25" t="s">
        <v>62</v>
      </c>
      <c r="M235" s="1" t="s">
        <v>914</v>
      </c>
      <c r="N235" s="1" t="s">
        <v>257</v>
      </c>
      <c r="O235" s="1" t="s">
        <v>32</v>
      </c>
      <c r="P235" s="26"/>
      <c r="Q235" s="1" t="s">
        <v>105</v>
      </c>
      <c r="R235" s="1" t="s">
        <v>185</v>
      </c>
      <c r="S235" s="1" t="s">
        <v>186</v>
      </c>
      <c r="T235" s="1" t="s">
        <v>255</v>
      </c>
      <c r="U235" s="1" t="s">
        <v>416</v>
      </c>
    </row>
    <row r="236" spans="1:21" ht="15" customHeight="1" x14ac:dyDescent="0.25">
      <c r="A236" s="3" t="s">
        <v>762</v>
      </c>
      <c r="B236" s="2" t="s">
        <v>1145</v>
      </c>
      <c r="C236" s="13" t="s">
        <v>1397</v>
      </c>
      <c r="D236" s="14" t="s">
        <v>1367</v>
      </c>
      <c r="E236" s="13" t="s">
        <v>1393</v>
      </c>
      <c r="F236" s="13" t="s">
        <v>1428</v>
      </c>
      <c r="G236" s="13" t="s">
        <v>1428</v>
      </c>
      <c r="H236" s="13" t="s">
        <v>1428</v>
      </c>
      <c r="I236" s="13" t="s">
        <v>1428</v>
      </c>
      <c r="J236" s="13" t="s">
        <v>1476</v>
      </c>
      <c r="K236" s="6" t="str">
        <f>HYPERLINK("http://explorer.natureserve.org/servlet/NatureServe?searchSpeciesUid=ELEMENT_GLOBAL.2.106402")</f>
        <v>http://explorer.natureserve.org/servlet/NatureServe?searchSpeciesUid=ELEMENT_GLOBAL.2.106402</v>
      </c>
      <c r="L236" s="25" t="s">
        <v>52</v>
      </c>
      <c r="M236" s="1" t="s">
        <v>915</v>
      </c>
      <c r="N236" s="1" t="s">
        <v>79</v>
      </c>
      <c r="O236" s="1" t="s">
        <v>32</v>
      </c>
      <c r="P236" s="26"/>
      <c r="Q236" s="1" t="s">
        <v>7</v>
      </c>
      <c r="R236" s="1" t="s">
        <v>55</v>
      </c>
      <c r="S236" s="1" t="s">
        <v>76</v>
      </c>
      <c r="T236" s="1" t="s">
        <v>498</v>
      </c>
      <c r="U236" s="1" t="s">
        <v>499</v>
      </c>
    </row>
    <row r="237" spans="1:21" ht="26.25" x14ac:dyDescent="0.25">
      <c r="A237" s="3" t="s">
        <v>545</v>
      </c>
      <c r="B237" s="2" t="s">
        <v>546</v>
      </c>
      <c r="C237" s="13"/>
      <c r="D237" s="14" t="s">
        <v>1388</v>
      </c>
      <c r="E237" s="13"/>
      <c r="F237" s="13"/>
      <c r="G237" s="13"/>
      <c r="H237" s="13"/>
      <c r="I237" s="13"/>
      <c r="J237" s="13" t="s">
        <v>1477</v>
      </c>
      <c r="K237" s="6" t="str">
        <f>HYPERLINK("http://explorer.natureserve.org/servlet/NatureServe?searchSpeciesUid=ELEMENT_GLOBAL.2.100473")</f>
        <v>http://explorer.natureserve.org/servlet/NatureServe?searchSpeciesUid=ELEMENT_GLOBAL.2.100473</v>
      </c>
      <c r="L237" s="25" t="s">
        <v>62</v>
      </c>
      <c r="M237" s="1" t="s">
        <v>915</v>
      </c>
      <c r="N237" s="1" t="s">
        <v>79</v>
      </c>
      <c r="O237" s="1" t="s">
        <v>32</v>
      </c>
      <c r="P237" s="26"/>
      <c r="Q237" s="1" t="s">
        <v>7</v>
      </c>
      <c r="R237" s="1" t="s">
        <v>55</v>
      </c>
      <c r="S237" s="1" t="s">
        <v>76</v>
      </c>
      <c r="T237" s="1" t="s">
        <v>498</v>
      </c>
      <c r="U237" s="1" t="s">
        <v>499</v>
      </c>
    </row>
    <row r="238" spans="1:21" ht="26.25" x14ac:dyDescent="0.25">
      <c r="A238" s="3" t="s">
        <v>508</v>
      </c>
      <c r="B238" s="2" t="s">
        <v>509</v>
      </c>
      <c r="C238" s="13" t="s">
        <v>1429</v>
      </c>
      <c r="D238" s="14" t="s">
        <v>1367</v>
      </c>
      <c r="E238" s="13" t="s">
        <v>1372</v>
      </c>
      <c r="F238" s="13" t="s">
        <v>1429</v>
      </c>
      <c r="G238" s="13" t="s">
        <v>1429</v>
      </c>
      <c r="H238" s="13" t="s">
        <v>1429</v>
      </c>
      <c r="I238" s="13" t="s">
        <v>1429</v>
      </c>
      <c r="J238" s="13" t="s">
        <v>1474</v>
      </c>
      <c r="K238" s="6" t="str">
        <f>HYPERLINK("http://explorer.natureserve.org/servlet/NatureServe?searchSpeciesUid=ELEMENT_GLOBAL.2.100428")</f>
        <v>http://explorer.natureserve.org/servlet/NatureServe?searchSpeciesUid=ELEMENT_GLOBAL.2.100428</v>
      </c>
      <c r="L238" s="25" t="s">
        <v>116</v>
      </c>
      <c r="M238" s="1" t="s">
        <v>915</v>
      </c>
      <c r="N238" s="1" t="s">
        <v>79</v>
      </c>
      <c r="O238" s="1" t="s">
        <v>32</v>
      </c>
      <c r="P238" s="26"/>
      <c r="Q238" s="1" t="s">
        <v>7</v>
      </c>
      <c r="R238" s="1" t="s">
        <v>55</v>
      </c>
      <c r="S238" s="1" t="s">
        <v>76</v>
      </c>
      <c r="T238" s="1" t="s">
        <v>498</v>
      </c>
      <c r="U238" s="1" t="s">
        <v>499</v>
      </c>
    </row>
    <row r="239" spans="1:21" ht="26.25" x14ac:dyDescent="0.25">
      <c r="A239" s="3" t="s">
        <v>1147</v>
      </c>
      <c r="B239" s="2" t="s">
        <v>1148</v>
      </c>
      <c r="C239" s="13"/>
      <c r="D239" s="14"/>
      <c r="E239" s="13"/>
      <c r="F239" s="13"/>
      <c r="G239" s="13" t="s">
        <v>1391</v>
      </c>
      <c r="H239" s="13"/>
      <c r="I239" s="13"/>
      <c r="J239" s="13" t="s">
        <v>1474</v>
      </c>
      <c r="K239" s="6" t="s">
        <v>1146</v>
      </c>
      <c r="L239" s="25" t="s">
        <v>1149</v>
      </c>
      <c r="M239" s="1" t="s">
        <v>914</v>
      </c>
      <c r="N239" s="1" t="s">
        <v>189</v>
      </c>
      <c r="O239" s="1" t="s">
        <v>68</v>
      </c>
      <c r="P239" s="26"/>
      <c r="Q239" s="1" t="s">
        <v>105</v>
      </c>
      <c r="R239" s="1" t="s">
        <v>185</v>
      </c>
      <c r="S239" s="1" t="s">
        <v>200</v>
      </c>
      <c r="T239" s="1" t="s">
        <v>442</v>
      </c>
      <c r="U239" s="1" t="s">
        <v>443</v>
      </c>
    </row>
    <row r="240" spans="1:21" ht="26.25" x14ac:dyDescent="0.25">
      <c r="A240" s="3" t="s">
        <v>80</v>
      </c>
      <c r="B240" s="2" t="s">
        <v>81</v>
      </c>
      <c r="C240" s="13" t="s">
        <v>1397</v>
      </c>
      <c r="D240" s="14" t="s">
        <v>1430</v>
      </c>
      <c r="E240" s="13" t="s">
        <v>1372</v>
      </c>
      <c r="F240" s="14" t="s">
        <v>1430</v>
      </c>
      <c r="G240" s="13"/>
      <c r="H240" s="14" t="s">
        <v>1430</v>
      </c>
      <c r="I240" s="14" t="s">
        <v>1430</v>
      </c>
      <c r="J240" s="13" t="s">
        <v>1474</v>
      </c>
      <c r="K240" s="6" t="str">
        <f>HYPERLINK("http://explorer.natureserve.org/servlet/NatureServe?searchSpeciesUid=ELEMENT_GLOBAL.2.101808")</f>
        <v>http://explorer.natureserve.org/servlet/NatureServe?searchSpeciesUid=ELEMENT_GLOBAL.2.101808</v>
      </c>
      <c r="L240" s="25" t="s">
        <v>82</v>
      </c>
      <c r="M240" s="1" t="s">
        <v>915</v>
      </c>
      <c r="N240" s="1" t="s">
        <v>79</v>
      </c>
      <c r="O240" s="1" t="s">
        <v>32</v>
      </c>
      <c r="P240" s="26"/>
      <c r="Q240" s="1" t="s">
        <v>7</v>
      </c>
      <c r="R240" s="1" t="s">
        <v>55</v>
      </c>
      <c r="S240" s="1" t="s">
        <v>76</v>
      </c>
      <c r="T240" s="1" t="s">
        <v>77</v>
      </c>
      <c r="U240" s="1" t="s">
        <v>78</v>
      </c>
    </row>
    <row r="241" spans="1:21" ht="26.25" x14ac:dyDescent="0.25">
      <c r="A241" s="3" t="s">
        <v>678</v>
      </c>
      <c r="B241" s="2" t="s">
        <v>679</v>
      </c>
      <c r="C241" s="13"/>
      <c r="D241" s="14" t="s">
        <v>1367</v>
      </c>
      <c r="E241" s="13"/>
      <c r="F241" s="13"/>
      <c r="G241" s="13"/>
      <c r="H241" s="13"/>
      <c r="I241" s="13"/>
      <c r="J241" s="13" t="s">
        <v>1474</v>
      </c>
      <c r="K241" s="6" t="str">
        <f>HYPERLINK("http://explorer.natureserve.org/servlet/NatureServe?searchSpeciesUid=ELEMENT_GLOBAL.2.105704")</f>
        <v>http://explorer.natureserve.org/servlet/NatureServe?searchSpeciesUid=ELEMENT_GLOBAL.2.105704</v>
      </c>
      <c r="L241" s="25" t="s">
        <v>52</v>
      </c>
      <c r="M241" s="1" t="s">
        <v>915</v>
      </c>
      <c r="N241" s="1" t="s">
        <v>86</v>
      </c>
      <c r="O241" s="1" t="s">
        <v>68</v>
      </c>
      <c r="P241" s="26"/>
      <c r="Q241" s="1" t="s">
        <v>7</v>
      </c>
      <c r="R241" s="1" t="s">
        <v>55</v>
      </c>
      <c r="S241" s="1" t="s">
        <v>83</v>
      </c>
      <c r="T241" s="1" t="s">
        <v>213</v>
      </c>
      <c r="U241" s="1" t="s">
        <v>516</v>
      </c>
    </row>
    <row r="242" spans="1:21" ht="26.25" x14ac:dyDescent="0.25">
      <c r="A242" s="3" t="s">
        <v>612</v>
      </c>
      <c r="B242" s="2" t="s">
        <v>613</v>
      </c>
      <c r="C242" s="13"/>
      <c r="D242" s="14"/>
      <c r="E242" s="13" t="s">
        <v>1372</v>
      </c>
      <c r="F242" s="13" t="s">
        <v>1405</v>
      </c>
      <c r="G242" s="13" t="s">
        <v>151</v>
      </c>
      <c r="H242" s="13"/>
      <c r="I242" s="13"/>
      <c r="J242" s="13" t="s">
        <v>1474</v>
      </c>
      <c r="K242" s="6" t="s">
        <v>1150</v>
      </c>
      <c r="L242" s="25" t="s">
        <v>89</v>
      </c>
      <c r="M242" s="1" t="s">
        <v>915</v>
      </c>
      <c r="N242" s="1" t="s">
        <v>86</v>
      </c>
      <c r="O242" s="1" t="s">
        <v>68</v>
      </c>
      <c r="P242" s="26"/>
      <c r="Q242" s="1" t="s">
        <v>7</v>
      </c>
      <c r="R242" s="1" t="s">
        <v>55</v>
      </c>
      <c r="S242" s="1" t="s">
        <v>83</v>
      </c>
      <c r="T242" s="1" t="s">
        <v>213</v>
      </c>
      <c r="U242" s="1" t="s">
        <v>516</v>
      </c>
    </row>
    <row r="243" spans="1:21" ht="26.25" x14ac:dyDescent="0.25">
      <c r="A243" s="3" t="s">
        <v>315</v>
      </c>
      <c r="B243" s="2" t="s">
        <v>316</v>
      </c>
      <c r="C243" s="13"/>
      <c r="D243" s="14" t="s">
        <v>1366</v>
      </c>
      <c r="E243" s="13"/>
      <c r="F243" s="13"/>
      <c r="G243" s="13"/>
      <c r="H243" s="13"/>
      <c r="I243" s="13"/>
      <c r="J243" s="29" t="s">
        <v>1470</v>
      </c>
      <c r="K243" s="6" t="str">
        <f>HYPERLINK("http://explorer.natureserve.org/servlet/NatureServe?searchSpeciesUid=ELEMENT_GLOBAL.2.114563")</f>
        <v>http://explorer.natureserve.org/servlet/NatureServe?searchSpeciesUid=ELEMENT_GLOBAL.2.114563</v>
      </c>
      <c r="L243" s="25" t="s">
        <v>15</v>
      </c>
      <c r="M243" s="1" t="s">
        <v>922</v>
      </c>
      <c r="N243" s="1" t="s">
        <v>21</v>
      </c>
      <c r="O243" s="1" t="s">
        <v>32</v>
      </c>
      <c r="P243" s="26"/>
      <c r="Q243" s="1" t="s">
        <v>7</v>
      </c>
      <c r="R243" s="1" t="s">
        <v>63</v>
      </c>
      <c r="S243" s="1" t="s">
        <v>177</v>
      </c>
      <c r="T243" s="1" t="s">
        <v>178</v>
      </c>
      <c r="U243" s="1" t="s">
        <v>314</v>
      </c>
    </row>
    <row r="244" spans="1:21" ht="26.25" x14ac:dyDescent="0.25">
      <c r="A244" s="3" t="s">
        <v>226</v>
      </c>
      <c r="B244" s="2" t="s">
        <v>227</v>
      </c>
      <c r="C244" s="13" t="s">
        <v>1382</v>
      </c>
      <c r="D244" s="13" t="s">
        <v>1382</v>
      </c>
      <c r="E244" s="13" t="s">
        <v>1383</v>
      </c>
      <c r="F244" s="13" t="s">
        <v>1382</v>
      </c>
      <c r="G244" s="13" t="s">
        <v>1382</v>
      </c>
      <c r="H244" s="13" t="s">
        <v>1382</v>
      </c>
      <c r="I244" s="13" t="s">
        <v>1382</v>
      </c>
      <c r="J244" s="13" t="s">
        <v>1473</v>
      </c>
      <c r="K244" s="6" t="str">
        <f>HYPERLINK("http://explorer.natureserve.org/servlet/NatureServe?searchSpeciesUid=ELEMENT_GLOBAL.2.161146")</f>
        <v>http://explorer.natureserve.org/servlet/NatureServe?searchSpeciesUid=ELEMENT_GLOBAL.2.161146</v>
      </c>
      <c r="L244" s="25" t="s">
        <v>62</v>
      </c>
      <c r="M244" s="1" t="s">
        <v>914</v>
      </c>
      <c r="N244" s="1" t="s">
        <v>160</v>
      </c>
      <c r="O244" s="1" t="s">
        <v>32</v>
      </c>
      <c r="P244" s="26"/>
      <c r="Q244" s="1" t="s">
        <v>105</v>
      </c>
      <c r="R244" s="1" t="s">
        <v>185</v>
      </c>
      <c r="S244" s="1" t="s">
        <v>200</v>
      </c>
      <c r="T244" s="1" t="s">
        <v>224</v>
      </c>
      <c r="U244" s="1" t="s">
        <v>225</v>
      </c>
    </row>
    <row r="245" spans="1:21" ht="26.25" x14ac:dyDescent="0.25">
      <c r="A245" s="3" t="s">
        <v>538</v>
      </c>
      <c r="B245" s="2" t="s">
        <v>539</v>
      </c>
      <c r="C245" s="13" t="s">
        <v>1365</v>
      </c>
      <c r="D245" s="14"/>
      <c r="E245" s="13"/>
      <c r="F245" s="13"/>
      <c r="G245" s="13"/>
      <c r="H245" s="13"/>
      <c r="I245" s="13"/>
      <c r="J245" s="29" t="s">
        <v>1470</v>
      </c>
      <c r="K245" s="6" t="s">
        <v>1151</v>
      </c>
      <c r="L245" s="25" t="s">
        <v>62</v>
      </c>
      <c r="M245" s="1" t="s">
        <v>914</v>
      </c>
      <c r="N245" s="1" t="s">
        <v>189</v>
      </c>
      <c r="O245" s="1" t="s">
        <v>32</v>
      </c>
      <c r="P245" s="26"/>
      <c r="Q245" s="1" t="s">
        <v>105</v>
      </c>
      <c r="R245" s="1" t="s">
        <v>185</v>
      </c>
      <c r="S245" s="1" t="s">
        <v>200</v>
      </c>
      <c r="T245" s="1" t="s">
        <v>246</v>
      </c>
      <c r="U245" s="1" t="s">
        <v>247</v>
      </c>
    </row>
    <row r="246" spans="1:21" ht="26.25" x14ac:dyDescent="0.25">
      <c r="A246" s="3" t="s">
        <v>514</v>
      </c>
      <c r="B246" s="2" t="s">
        <v>515</v>
      </c>
      <c r="C246" s="13"/>
      <c r="D246" s="14" t="s">
        <v>1367</v>
      </c>
      <c r="E246" s="13"/>
      <c r="F246" s="13"/>
      <c r="G246" s="13"/>
      <c r="H246" s="13"/>
      <c r="I246" s="13"/>
      <c r="J246" s="13" t="s">
        <v>1474</v>
      </c>
      <c r="K246" s="6" t="str">
        <f>HYPERLINK("http://explorer.natureserve.org/servlet/NatureServe?searchSpeciesUid=ELEMENT_GLOBAL.2.111174")</f>
        <v>http://explorer.natureserve.org/servlet/NatureServe?searchSpeciesUid=ELEMENT_GLOBAL.2.111174</v>
      </c>
      <c r="L246" s="25" t="s">
        <v>62</v>
      </c>
      <c r="M246" s="1" t="s">
        <v>922</v>
      </c>
      <c r="N246" s="1" t="s">
        <v>12</v>
      </c>
      <c r="O246" s="1" t="s">
        <v>32</v>
      </c>
      <c r="P246" s="26"/>
      <c r="Q246" s="1" t="s">
        <v>7</v>
      </c>
      <c r="R246" s="1" t="s">
        <v>8</v>
      </c>
      <c r="S246" s="1" t="s">
        <v>9</v>
      </c>
      <c r="T246" s="1" t="s">
        <v>141</v>
      </c>
      <c r="U246" s="1" t="s">
        <v>460</v>
      </c>
    </row>
    <row r="247" spans="1:21" ht="26.25" x14ac:dyDescent="0.25">
      <c r="A247" s="3" t="s">
        <v>684</v>
      </c>
      <c r="B247" s="2" t="s">
        <v>685</v>
      </c>
      <c r="C247" s="13"/>
      <c r="D247" s="14" t="s">
        <v>1388</v>
      </c>
      <c r="E247" s="13"/>
      <c r="F247" s="13"/>
      <c r="G247" s="13" t="s">
        <v>151</v>
      </c>
      <c r="H247" s="13"/>
      <c r="I247" s="13"/>
      <c r="J247" s="13" t="s">
        <v>1477</v>
      </c>
      <c r="K247" s="6" t="str">
        <f>HYPERLINK("http://explorer.natureserve.org/servlet/NatureServe?searchSpeciesUid=ELEMENT_GLOBAL.2.117663")</f>
        <v>http://explorer.natureserve.org/servlet/NatureServe?searchSpeciesUid=ELEMENT_GLOBAL.2.117663</v>
      </c>
      <c r="L247" s="25" t="s">
        <v>52</v>
      </c>
      <c r="M247" s="1" t="s">
        <v>922</v>
      </c>
      <c r="N247" s="1" t="s">
        <v>12</v>
      </c>
      <c r="O247" s="1" t="s">
        <v>32</v>
      </c>
      <c r="P247" s="26"/>
      <c r="Q247" s="1" t="s">
        <v>7</v>
      </c>
      <c r="R247" s="1" t="s">
        <v>8</v>
      </c>
      <c r="S247" s="1" t="s">
        <v>9</v>
      </c>
      <c r="T247" s="1" t="s">
        <v>207</v>
      </c>
      <c r="U247" s="1" t="s">
        <v>334</v>
      </c>
    </row>
    <row r="248" spans="1:21" ht="26.25" x14ac:dyDescent="0.25">
      <c r="A248" s="3" t="s">
        <v>790</v>
      </c>
      <c r="B248" s="2" t="s">
        <v>791</v>
      </c>
      <c r="C248" s="13"/>
      <c r="D248" s="14"/>
      <c r="E248" s="13" t="s">
        <v>1393</v>
      </c>
      <c r="F248" s="13" t="s">
        <v>151</v>
      </c>
      <c r="G248" s="13"/>
      <c r="H248" s="13"/>
      <c r="I248" s="13"/>
      <c r="J248" s="13" t="s">
        <v>1477</v>
      </c>
      <c r="K248" s="6" t="s">
        <v>1152</v>
      </c>
      <c r="L248" s="25" t="s">
        <v>62</v>
      </c>
      <c r="M248" s="1" t="s">
        <v>922</v>
      </c>
      <c r="N248" s="1" t="s">
        <v>21</v>
      </c>
      <c r="O248" s="1" t="s">
        <v>68</v>
      </c>
      <c r="P248" s="26"/>
      <c r="Q248" s="1" t="s">
        <v>7</v>
      </c>
      <c r="R248" s="1" t="s">
        <v>8</v>
      </c>
      <c r="S248" s="1" t="s">
        <v>71</v>
      </c>
      <c r="T248" s="1" t="s">
        <v>72</v>
      </c>
      <c r="U248" s="1" t="s">
        <v>73</v>
      </c>
    </row>
    <row r="249" spans="1:21" ht="26.25" x14ac:dyDescent="0.25">
      <c r="A249" s="3" t="s">
        <v>74</v>
      </c>
      <c r="B249" s="2" t="s">
        <v>75</v>
      </c>
      <c r="C249" s="13"/>
      <c r="D249" s="14"/>
      <c r="E249" s="13" t="s">
        <v>1393</v>
      </c>
      <c r="F249" s="13"/>
      <c r="G249" s="13"/>
      <c r="H249" s="13"/>
      <c r="I249" s="13"/>
      <c r="J249" s="13" t="s">
        <v>1477</v>
      </c>
      <c r="K249" s="6" t="s">
        <v>1153</v>
      </c>
      <c r="L249" s="25" t="s">
        <v>62</v>
      </c>
      <c r="M249" s="1" t="s">
        <v>922</v>
      </c>
      <c r="N249" s="1" t="s">
        <v>21</v>
      </c>
      <c r="O249" s="1" t="s">
        <v>68</v>
      </c>
      <c r="P249" s="26"/>
      <c r="Q249" s="1" t="s">
        <v>7</v>
      </c>
      <c r="R249" s="1" t="s">
        <v>8</v>
      </c>
      <c r="S249" s="1" t="s">
        <v>71</v>
      </c>
      <c r="T249" s="1" t="s">
        <v>72</v>
      </c>
      <c r="U249" s="1" t="s">
        <v>73</v>
      </c>
    </row>
    <row r="250" spans="1:21" ht="26.25" x14ac:dyDescent="0.25">
      <c r="A250" s="3" t="s">
        <v>731</v>
      </c>
      <c r="B250" s="2" t="s">
        <v>732</v>
      </c>
      <c r="C250" s="13"/>
      <c r="D250" s="14"/>
      <c r="E250" s="13" t="s">
        <v>1393</v>
      </c>
      <c r="F250" s="13"/>
      <c r="G250" s="13"/>
      <c r="H250" s="13"/>
      <c r="I250" s="13" t="s">
        <v>1395</v>
      </c>
      <c r="J250" s="13" t="s">
        <v>1477</v>
      </c>
      <c r="K250" s="6" t="s">
        <v>1154</v>
      </c>
      <c r="L250" s="25" t="s">
        <v>62</v>
      </c>
      <c r="M250" s="1" t="s">
        <v>922</v>
      </c>
      <c r="N250" s="1" t="s">
        <v>21</v>
      </c>
      <c r="O250" s="1" t="s">
        <v>68</v>
      </c>
      <c r="P250" s="26"/>
      <c r="Q250" s="1" t="s">
        <v>7</v>
      </c>
      <c r="R250" s="1" t="s">
        <v>8</v>
      </c>
      <c r="S250" s="1" t="s">
        <v>71</v>
      </c>
      <c r="T250" s="1" t="s">
        <v>72</v>
      </c>
      <c r="U250" s="1" t="s">
        <v>73</v>
      </c>
    </row>
    <row r="251" spans="1:21" ht="26.25" x14ac:dyDescent="0.25">
      <c r="A251" s="3" t="s">
        <v>875</v>
      </c>
      <c r="B251" s="2" t="s">
        <v>876</v>
      </c>
      <c r="C251" s="13"/>
      <c r="D251" s="14"/>
      <c r="E251" s="13" t="s">
        <v>1393</v>
      </c>
      <c r="F251" s="13"/>
      <c r="G251" s="13"/>
      <c r="H251" s="13"/>
      <c r="I251" s="13"/>
      <c r="J251" s="13" t="s">
        <v>1477</v>
      </c>
      <c r="K251" s="6" t="s">
        <v>1155</v>
      </c>
      <c r="L251" s="25" t="s">
        <v>62</v>
      </c>
      <c r="M251" s="1" t="s">
        <v>922</v>
      </c>
      <c r="N251" s="1" t="s">
        <v>21</v>
      </c>
      <c r="O251" s="1" t="s">
        <v>68</v>
      </c>
      <c r="P251" s="26"/>
      <c r="Q251" s="1" t="s">
        <v>7</v>
      </c>
      <c r="R251" s="1" t="s">
        <v>8</v>
      </c>
      <c r="S251" s="1" t="s">
        <v>71</v>
      </c>
      <c r="T251" s="1" t="s">
        <v>72</v>
      </c>
      <c r="U251" s="1" t="s">
        <v>73</v>
      </c>
    </row>
    <row r="252" spans="1:21" ht="26.25" x14ac:dyDescent="0.25">
      <c r="A252" s="3" t="s">
        <v>183</v>
      </c>
      <c r="B252" s="2" t="s">
        <v>184</v>
      </c>
      <c r="C252" s="13" t="s">
        <v>1405</v>
      </c>
      <c r="D252" s="13" t="s">
        <v>1405</v>
      </c>
      <c r="E252" s="13" t="s">
        <v>1372</v>
      </c>
      <c r="F252" s="13" t="s">
        <v>1405</v>
      </c>
      <c r="G252" s="13"/>
      <c r="H252" s="13"/>
      <c r="I252" s="13"/>
      <c r="J252" s="13" t="s">
        <v>1474</v>
      </c>
      <c r="K252" s="6" t="str">
        <f>HYPERLINK("http://explorer.natureserve.org/servlet/NatureServe?searchSpeciesUid=ELEMENT_GLOBAL.2.119237")</f>
        <v>http://explorer.natureserve.org/servlet/NatureServe?searchSpeciesUid=ELEMENT_GLOBAL.2.119237</v>
      </c>
      <c r="L252" s="25" t="s">
        <v>52</v>
      </c>
      <c r="M252" s="1" t="s">
        <v>922</v>
      </c>
      <c r="N252" s="1" t="s">
        <v>12</v>
      </c>
      <c r="O252" s="1" t="s">
        <v>32</v>
      </c>
      <c r="P252" s="26"/>
      <c r="Q252" s="1" t="s">
        <v>7</v>
      </c>
      <c r="R252" s="1" t="s">
        <v>8</v>
      </c>
      <c r="S252" s="1" t="s">
        <v>9</v>
      </c>
      <c r="T252" s="1" t="s">
        <v>48</v>
      </c>
      <c r="U252" s="1" t="s">
        <v>182</v>
      </c>
    </row>
    <row r="253" spans="1:21" ht="26.25" x14ac:dyDescent="0.25">
      <c r="A253" s="3" t="s">
        <v>1157</v>
      </c>
      <c r="B253" s="2" t="s">
        <v>1158</v>
      </c>
      <c r="C253" s="13"/>
      <c r="D253" s="14"/>
      <c r="E253" s="13"/>
      <c r="F253" s="13"/>
      <c r="G253" s="13" t="s">
        <v>1391</v>
      </c>
      <c r="H253" s="13"/>
      <c r="I253" s="13"/>
      <c r="J253" s="13" t="s">
        <v>1474</v>
      </c>
      <c r="K253" s="6" t="s">
        <v>1156</v>
      </c>
      <c r="L253" s="25" t="s">
        <v>62</v>
      </c>
      <c r="M253" s="1" t="s">
        <v>914</v>
      </c>
      <c r="N253" s="1" t="s">
        <v>257</v>
      </c>
      <c r="O253" s="1" t="s">
        <v>32</v>
      </c>
      <c r="P253" s="26"/>
      <c r="Q253" s="1" t="s">
        <v>105</v>
      </c>
      <c r="R253" s="1" t="s">
        <v>185</v>
      </c>
      <c r="S253" s="1" t="s">
        <v>186</v>
      </c>
      <c r="T253" s="1" t="s">
        <v>255</v>
      </c>
      <c r="U253" s="1" t="s">
        <v>416</v>
      </c>
    </row>
    <row r="254" spans="1:21" ht="26.25" x14ac:dyDescent="0.25">
      <c r="A254" s="2" t="s">
        <v>1322</v>
      </c>
      <c r="B254" s="2" t="s">
        <v>434</v>
      </c>
      <c r="C254" s="13" t="s">
        <v>1397</v>
      </c>
      <c r="D254" s="14"/>
      <c r="E254" s="13"/>
      <c r="F254" s="13"/>
      <c r="G254" s="13"/>
      <c r="H254" s="13"/>
      <c r="I254" s="13"/>
      <c r="J254" s="13" t="s">
        <v>1474</v>
      </c>
      <c r="K254" s="6" t="s">
        <v>1159</v>
      </c>
      <c r="L254" s="25" t="s">
        <v>35</v>
      </c>
      <c r="M254" s="1" t="s">
        <v>922</v>
      </c>
      <c r="N254" s="1" t="s">
        <v>12</v>
      </c>
      <c r="O254" s="1" t="s">
        <v>32</v>
      </c>
      <c r="P254" s="26"/>
      <c r="Q254" s="1" t="s">
        <v>7</v>
      </c>
      <c r="R254" s="1" t="s">
        <v>8</v>
      </c>
      <c r="S254" s="1" t="s">
        <v>9</v>
      </c>
      <c r="T254" s="1" t="s">
        <v>141</v>
      </c>
      <c r="U254" s="1" t="s">
        <v>427</v>
      </c>
    </row>
    <row r="255" spans="1:21" ht="26.25" x14ac:dyDescent="0.25">
      <c r="A255" s="3" t="s">
        <v>754</v>
      </c>
      <c r="B255" s="2" t="s">
        <v>755</v>
      </c>
      <c r="C255" s="13"/>
      <c r="D255" s="14"/>
      <c r="E255" s="13" t="s">
        <v>1386</v>
      </c>
      <c r="F255" s="13"/>
      <c r="G255" s="13"/>
      <c r="H255" s="13"/>
      <c r="I255" s="13"/>
      <c r="J255" s="13" t="s">
        <v>1471</v>
      </c>
      <c r="K255" s="6" t="s">
        <v>1160</v>
      </c>
      <c r="L255" s="25" t="s">
        <v>15</v>
      </c>
      <c r="M255" s="1" t="s">
        <v>922</v>
      </c>
      <c r="N255" s="1" t="s">
        <v>21</v>
      </c>
      <c r="O255" s="1" t="s">
        <v>32</v>
      </c>
      <c r="P255" s="26"/>
      <c r="Q255" s="1" t="s">
        <v>7</v>
      </c>
      <c r="R255" s="1" t="s">
        <v>63</v>
      </c>
      <c r="S255" s="1" t="s">
        <v>177</v>
      </c>
      <c r="T255" s="1" t="s">
        <v>178</v>
      </c>
      <c r="U255" s="1" t="s">
        <v>567</v>
      </c>
    </row>
    <row r="256" spans="1:21" ht="26.25" x14ac:dyDescent="0.25">
      <c r="A256" s="3" t="s">
        <v>718</v>
      </c>
      <c r="B256" s="2" t="s">
        <v>719</v>
      </c>
      <c r="C256" s="13"/>
      <c r="D256" s="14"/>
      <c r="E256" s="13" t="s">
        <v>1372</v>
      </c>
      <c r="F256" s="13" t="s">
        <v>1405</v>
      </c>
      <c r="G256" s="13"/>
      <c r="H256" s="13"/>
      <c r="I256" s="13"/>
      <c r="J256" s="13" t="s">
        <v>1474</v>
      </c>
      <c r="K256" s="6" t="s">
        <v>1161</v>
      </c>
      <c r="L256" s="25" t="s">
        <v>52</v>
      </c>
      <c r="M256" s="1" t="s">
        <v>922</v>
      </c>
      <c r="N256" s="1" t="s">
        <v>21</v>
      </c>
      <c r="O256" s="1" t="s">
        <v>32</v>
      </c>
      <c r="P256" s="26"/>
      <c r="Q256" s="1" t="s">
        <v>7</v>
      </c>
      <c r="R256" s="1" t="s">
        <v>63</v>
      </c>
      <c r="S256" s="1" t="s">
        <v>177</v>
      </c>
      <c r="T256" s="1" t="s">
        <v>178</v>
      </c>
      <c r="U256" s="1" t="s">
        <v>567</v>
      </c>
    </row>
    <row r="257" spans="1:21" ht="26.25" x14ac:dyDescent="0.25">
      <c r="A257" s="7" t="s">
        <v>1164</v>
      </c>
      <c r="B257" s="8" t="s">
        <v>1165</v>
      </c>
      <c r="C257" s="13"/>
      <c r="D257" s="14"/>
      <c r="E257" s="13" t="s">
        <v>1401</v>
      </c>
      <c r="F257" s="13" t="s">
        <v>1401</v>
      </c>
      <c r="G257" s="13"/>
      <c r="H257" s="13"/>
      <c r="I257" s="13"/>
      <c r="J257" s="13" t="s">
        <v>1471</v>
      </c>
      <c r="K257" s="6" t="s">
        <v>1162</v>
      </c>
      <c r="L257" s="25" t="s">
        <v>52</v>
      </c>
      <c r="M257" s="1" t="s">
        <v>914</v>
      </c>
      <c r="N257" s="1" t="s">
        <v>189</v>
      </c>
      <c r="O257" s="1" t="s">
        <v>32</v>
      </c>
      <c r="P257" s="26" t="s">
        <v>54</v>
      </c>
      <c r="Q257" s="1" t="s">
        <v>105</v>
      </c>
      <c r="R257" s="1" t="s">
        <v>185</v>
      </c>
      <c r="S257" s="1" t="s">
        <v>200</v>
      </c>
      <c r="T257" s="1" t="s">
        <v>201</v>
      </c>
      <c r="U257" s="1" t="s">
        <v>1163</v>
      </c>
    </row>
    <row r="258" spans="1:21" ht="26.25" x14ac:dyDescent="0.25">
      <c r="A258" s="3" t="s">
        <v>869</v>
      </c>
      <c r="B258" s="2" t="s">
        <v>870</v>
      </c>
      <c r="C258" s="13"/>
      <c r="D258" s="14"/>
      <c r="E258" s="13" t="s">
        <v>1379</v>
      </c>
      <c r="F258" s="13"/>
      <c r="G258" s="13"/>
      <c r="H258" s="13"/>
      <c r="I258" s="13"/>
      <c r="J258" s="29" t="s">
        <v>1470</v>
      </c>
      <c r="K258" s="6" t="s">
        <v>1166</v>
      </c>
      <c r="L258" s="25" t="s">
        <v>52</v>
      </c>
      <c r="M258" s="1" t="s">
        <v>922</v>
      </c>
      <c r="N258" s="1" t="s">
        <v>21</v>
      </c>
      <c r="O258" s="1" t="s">
        <v>32</v>
      </c>
      <c r="P258" s="26"/>
      <c r="Q258" s="1" t="s">
        <v>7</v>
      </c>
      <c r="R258" s="1" t="s">
        <v>63</v>
      </c>
      <c r="S258" s="1" t="s">
        <v>177</v>
      </c>
      <c r="T258" s="1" t="s">
        <v>178</v>
      </c>
      <c r="U258" s="1" t="s">
        <v>179</v>
      </c>
    </row>
    <row r="259" spans="1:21" ht="26.25" x14ac:dyDescent="0.25">
      <c r="A259" s="3" t="s">
        <v>287</v>
      </c>
      <c r="B259" s="2" t="s">
        <v>288</v>
      </c>
      <c r="C259" s="13" t="s">
        <v>1405</v>
      </c>
      <c r="D259" s="14"/>
      <c r="E259" s="13" t="s">
        <v>1372</v>
      </c>
      <c r="F259" s="13" t="s">
        <v>1405</v>
      </c>
      <c r="G259" s="13"/>
      <c r="H259" s="13" t="s">
        <v>1405</v>
      </c>
      <c r="I259" s="13"/>
      <c r="J259" s="13" t="s">
        <v>1474</v>
      </c>
      <c r="K259" s="6" t="s">
        <v>1167</v>
      </c>
      <c r="L259" s="25" t="s">
        <v>116</v>
      </c>
      <c r="M259" s="1" t="s">
        <v>914</v>
      </c>
      <c r="N259" s="1" t="s">
        <v>189</v>
      </c>
      <c r="O259" s="1" t="s">
        <v>32</v>
      </c>
      <c r="P259" s="26"/>
      <c r="Q259" s="1" t="s">
        <v>105</v>
      </c>
      <c r="R259" s="1" t="s">
        <v>185</v>
      </c>
      <c r="S259" s="1" t="s">
        <v>200</v>
      </c>
      <c r="T259" s="1" t="s">
        <v>285</v>
      </c>
      <c r="U259" s="1" t="s">
        <v>286</v>
      </c>
    </row>
    <row r="260" spans="1:21" ht="26.25" x14ac:dyDescent="0.25">
      <c r="A260" s="3" t="s">
        <v>553</v>
      </c>
      <c r="B260" s="2" t="s">
        <v>554</v>
      </c>
      <c r="C260" s="13"/>
      <c r="D260" s="14" t="s">
        <v>1388</v>
      </c>
      <c r="E260" s="13"/>
      <c r="F260" s="13"/>
      <c r="G260" s="13"/>
      <c r="H260" s="13"/>
      <c r="I260" s="13"/>
      <c r="J260" s="13" t="s">
        <v>1477</v>
      </c>
      <c r="K260" s="6" t="str">
        <f>HYPERLINK("http://explorer.natureserve.org/servlet/NatureServe?searchSpeciesUid=ELEMENT_GLOBAL.2.814563")</f>
        <v>http://explorer.natureserve.org/servlet/NatureServe?searchSpeciesUid=ELEMENT_GLOBAL.2.814563</v>
      </c>
      <c r="L260" s="25" t="s">
        <v>52</v>
      </c>
      <c r="M260" s="1" t="s">
        <v>915</v>
      </c>
      <c r="N260" s="1" t="s">
        <v>86</v>
      </c>
      <c r="O260" s="1" t="s">
        <v>68</v>
      </c>
      <c r="P260" s="26"/>
      <c r="Q260" s="1" t="s">
        <v>7</v>
      </c>
      <c r="R260" s="1" t="s">
        <v>55</v>
      </c>
      <c r="S260" s="1" t="s">
        <v>83</v>
      </c>
      <c r="T260" s="1" t="s">
        <v>164</v>
      </c>
      <c r="U260" s="1" t="s">
        <v>289</v>
      </c>
    </row>
    <row r="261" spans="1:21" ht="26.25" x14ac:dyDescent="0.25">
      <c r="A261" s="4" t="s">
        <v>614</v>
      </c>
      <c r="B261" s="2" t="s">
        <v>615</v>
      </c>
      <c r="C261" s="13" t="s">
        <v>1382</v>
      </c>
      <c r="D261" s="13" t="s">
        <v>1382</v>
      </c>
      <c r="E261" s="13" t="s">
        <v>1383</v>
      </c>
      <c r="F261" s="13" t="s">
        <v>1382</v>
      </c>
      <c r="G261" s="13" t="s">
        <v>1382</v>
      </c>
      <c r="H261" s="13" t="s">
        <v>1382</v>
      </c>
      <c r="I261" s="13" t="s">
        <v>1382</v>
      </c>
      <c r="J261" s="13" t="s">
        <v>1473</v>
      </c>
      <c r="K261" s="6" t="str">
        <f>HYPERLINK("http://explorer.natureserve.org/servlet/NatureServe?searchSpeciesUid=ELEMENT_GLOBAL.2.101416")</f>
        <v>http://explorer.natureserve.org/servlet/NatureServe?searchSpeciesUid=ELEMENT_GLOBAL.2.101416</v>
      </c>
      <c r="L261" s="25" t="s">
        <v>62</v>
      </c>
      <c r="M261" s="1" t="s">
        <v>915</v>
      </c>
      <c r="N261" s="1" t="s">
        <v>79</v>
      </c>
      <c r="O261" s="1" t="s">
        <v>32</v>
      </c>
      <c r="P261" s="26"/>
      <c r="Q261" s="1" t="s">
        <v>7</v>
      </c>
      <c r="R261" s="1" t="s">
        <v>55</v>
      </c>
      <c r="S261" s="1" t="s">
        <v>76</v>
      </c>
      <c r="T261" s="1" t="s">
        <v>77</v>
      </c>
      <c r="U261" s="1" t="s">
        <v>78</v>
      </c>
    </row>
    <row r="262" spans="1:21" ht="26.25" x14ac:dyDescent="0.25">
      <c r="A262" s="4" t="s">
        <v>40</v>
      </c>
      <c r="B262" s="2" t="s">
        <v>41</v>
      </c>
      <c r="C262" s="13"/>
      <c r="D262" s="14"/>
      <c r="E262" s="13" t="s">
        <v>1393</v>
      </c>
      <c r="F262" s="13"/>
      <c r="G262" s="13"/>
      <c r="H262" s="13"/>
      <c r="I262" s="13"/>
      <c r="J262" s="13" t="s">
        <v>1477</v>
      </c>
      <c r="K262" s="6" t="s">
        <v>1168</v>
      </c>
      <c r="L262" s="25" t="s">
        <v>15</v>
      </c>
      <c r="M262" s="1" t="s">
        <v>922</v>
      </c>
      <c r="N262" s="1" t="s">
        <v>21</v>
      </c>
      <c r="O262" s="1" t="s">
        <v>13</v>
      </c>
      <c r="P262" s="26"/>
      <c r="Q262" s="1" t="s">
        <v>7</v>
      </c>
      <c r="R262" s="1" t="s">
        <v>36</v>
      </c>
      <c r="S262" s="1" t="s">
        <v>37</v>
      </c>
      <c r="T262" s="1" t="s">
        <v>38</v>
      </c>
      <c r="U262" s="1" t="s">
        <v>39</v>
      </c>
    </row>
    <row r="263" spans="1:21" ht="26.25" x14ac:dyDescent="0.25">
      <c r="A263" s="4" t="s">
        <v>517</v>
      </c>
      <c r="B263" s="2" t="s">
        <v>518</v>
      </c>
      <c r="C263" s="13"/>
      <c r="D263" s="14"/>
      <c r="E263" s="13" t="s">
        <v>1386</v>
      </c>
      <c r="F263" s="13" t="s">
        <v>1387</v>
      </c>
      <c r="G263" s="13"/>
      <c r="H263" s="13"/>
      <c r="I263" s="13"/>
      <c r="J263" s="13" t="s">
        <v>1471</v>
      </c>
      <c r="K263" s="6" t="s">
        <v>1169</v>
      </c>
      <c r="L263" s="25" t="s">
        <v>82</v>
      </c>
      <c r="M263" s="1" t="s">
        <v>915</v>
      </c>
      <c r="N263" s="1" t="s">
        <v>86</v>
      </c>
      <c r="O263" s="1" t="s">
        <v>68</v>
      </c>
      <c r="P263" s="26"/>
      <c r="Q263" s="1" t="s">
        <v>7</v>
      </c>
      <c r="R263" s="1" t="s">
        <v>55</v>
      </c>
      <c r="S263" s="1" t="s">
        <v>83</v>
      </c>
      <c r="T263" s="1" t="s">
        <v>213</v>
      </c>
      <c r="U263" s="1" t="s">
        <v>516</v>
      </c>
    </row>
    <row r="264" spans="1:21" ht="26.25" x14ac:dyDescent="0.25">
      <c r="A264" s="4" t="s">
        <v>813</v>
      </c>
      <c r="B264" s="2" t="s">
        <v>814</v>
      </c>
      <c r="C264" s="13"/>
      <c r="D264" s="14"/>
      <c r="E264" s="13" t="s">
        <v>1372</v>
      </c>
      <c r="F264" s="13" t="s">
        <v>1405</v>
      </c>
      <c r="G264" s="13"/>
      <c r="H264" s="13"/>
      <c r="I264" s="13"/>
      <c r="J264" s="13" t="s">
        <v>1474</v>
      </c>
      <c r="K264" s="6" t="s">
        <v>1170</v>
      </c>
      <c r="L264" s="25" t="s">
        <v>116</v>
      </c>
      <c r="M264" s="1" t="s">
        <v>914</v>
      </c>
      <c r="N264" s="1" t="s">
        <v>189</v>
      </c>
      <c r="O264" s="1" t="s">
        <v>32</v>
      </c>
      <c r="P264" s="26"/>
      <c r="Q264" s="1" t="s">
        <v>105</v>
      </c>
      <c r="R264" s="1" t="s">
        <v>185</v>
      </c>
      <c r="S264" s="1" t="s">
        <v>200</v>
      </c>
      <c r="T264" s="1" t="s">
        <v>811</v>
      </c>
      <c r="U264" s="1" t="s">
        <v>812</v>
      </c>
    </row>
    <row r="265" spans="1:21" ht="26.25" x14ac:dyDescent="0.25">
      <c r="A265" s="3" t="s">
        <v>219</v>
      </c>
      <c r="B265" s="2" t="s">
        <v>1171</v>
      </c>
      <c r="C265" s="13" t="s">
        <v>1376</v>
      </c>
      <c r="D265" s="14" t="s">
        <v>1385</v>
      </c>
      <c r="E265" s="14" t="s">
        <v>1385</v>
      </c>
      <c r="F265" s="13"/>
      <c r="G265" s="13"/>
      <c r="H265" s="13"/>
      <c r="I265" s="13"/>
      <c r="J265" s="13" t="s">
        <v>1471</v>
      </c>
      <c r="K265" s="6" t="str">
        <f>HYPERLINK("http://explorer.natureserve.org/servlet/NatureServe?searchSpeciesUid=ELEMENT_GLOBAL.2.160234")</f>
        <v>http://explorer.natureserve.org/servlet/NatureServe?searchSpeciesUid=ELEMENT_GLOBAL.2.160234</v>
      </c>
      <c r="L265" s="25" t="s">
        <v>62</v>
      </c>
      <c r="M265" s="1" t="s">
        <v>914</v>
      </c>
      <c r="N265" s="1" t="s">
        <v>160</v>
      </c>
      <c r="O265" s="1" t="s">
        <v>32</v>
      </c>
      <c r="P265" s="26"/>
      <c r="Q265" s="1" t="s">
        <v>105</v>
      </c>
      <c r="R265" s="1" t="s">
        <v>156</v>
      </c>
      <c r="S265" s="1" t="s">
        <v>157</v>
      </c>
      <c r="T265" s="1" t="s">
        <v>158</v>
      </c>
      <c r="U265" s="1" t="s">
        <v>159</v>
      </c>
    </row>
    <row r="266" spans="1:21" ht="39" x14ac:dyDescent="0.25">
      <c r="A266" s="3" t="s">
        <v>705</v>
      </c>
      <c r="B266" s="2" t="s">
        <v>1172</v>
      </c>
      <c r="C266" s="13" t="s">
        <v>1365</v>
      </c>
      <c r="D266" s="14" t="s">
        <v>1431</v>
      </c>
      <c r="E266" s="13" t="s">
        <v>1386</v>
      </c>
      <c r="F266" s="14" t="s">
        <v>1431</v>
      </c>
      <c r="G266" s="14" t="s">
        <v>1431</v>
      </c>
      <c r="H266" s="14" t="s">
        <v>1431</v>
      </c>
      <c r="I266" s="13"/>
      <c r="J266" s="13" t="s">
        <v>1472</v>
      </c>
      <c r="K266" s="6" t="str">
        <f>HYPERLINK("http://explorer.natureserve.org/servlet/NatureServe?searchSpeciesUid=ELEMENT_GLOBAL.2.140160")</f>
        <v>http://explorer.natureserve.org/servlet/NatureServe?searchSpeciesUid=ELEMENT_GLOBAL.2.140160</v>
      </c>
      <c r="L266" s="25" t="s">
        <v>62</v>
      </c>
      <c r="M266" s="1" t="s">
        <v>914</v>
      </c>
      <c r="N266" s="1" t="s">
        <v>160</v>
      </c>
      <c r="O266" s="1" t="s">
        <v>32</v>
      </c>
      <c r="P266" s="26"/>
      <c r="Q266" s="1" t="s">
        <v>105</v>
      </c>
      <c r="R266" s="1" t="s">
        <v>156</v>
      </c>
      <c r="S266" s="1" t="s">
        <v>157</v>
      </c>
      <c r="T266" s="1" t="s">
        <v>158</v>
      </c>
      <c r="U266" s="1" t="s">
        <v>159</v>
      </c>
    </row>
    <row r="267" spans="1:21" ht="26.25" x14ac:dyDescent="0.25">
      <c r="A267" s="3" t="s">
        <v>223</v>
      </c>
      <c r="B267" s="2" t="s">
        <v>1173</v>
      </c>
      <c r="C267" s="13"/>
      <c r="D267" s="14" t="s">
        <v>1388</v>
      </c>
      <c r="E267" s="13"/>
      <c r="F267" s="13"/>
      <c r="G267" s="13"/>
      <c r="H267" s="13"/>
      <c r="I267" s="13"/>
      <c r="J267" s="13" t="s">
        <v>1477</v>
      </c>
      <c r="K267" s="6" t="str">
        <f>HYPERLINK("http://explorer.natureserve.org/servlet/NatureServe?searchSpeciesUid=ELEMENT_GLOBAL.2.102076")</f>
        <v>http://explorer.natureserve.org/servlet/NatureServe?searchSpeciesUid=ELEMENT_GLOBAL.2.102076</v>
      </c>
      <c r="L267" s="25" t="s">
        <v>62</v>
      </c>
      <c r="M267" s="1" t="s">
        <v>915</v>
      </c>
      <c r="N267" s="1" t="s">
        <v>59</v>
      </c>
      <c r="O267" s="1" t="s">
        <v>32</v>
      </c>
      <c r="P267" s="26"/>
      <c r="Q267" s="1" t="s">
        <v>7</v>
      </c>
      <c r="R267" s="1" t="s">
        <v>55</v>
      </c>
      <c r="S267" s="1" t="s">
        <v>56</v>
      </c>
      <c r="T267" s="1" t="s">
        <v>98</v>
      </c>
      <c r="U267" s="1" t="s">
        <v>99</v>
      </c>
    </row>
    <row r="268" spans="1:21" ht="26.25" x14ac:dyDescent="0.25">
      <c r="A268" s="3" t="s">
        <v>100</v>
      </c>
      <c r="B268" s="2" t="s">
        <v>1174</v>
      </c>
      <c r="C268" s="13"/>
      <c r="D268" s="14" t="s">
        <v>1388</v>
      </c>
      <c r="E268" s="13"/>
      <c r="F268" s="13"/>
      <c r="G268" s="13"/>
      <c r="H268" s="13" t="s">
        <v>151</v>
      </c>
      <c r="I268" s="13"/>
      <c r="J268" s="13" t="s">
        <v>1477</v>
      </c>
      <c r="K268" s="6" t="str">
        <f>HYPERLINK("http://explorer.natureserve.org/servlet/NatureServe?searchSpeciesUid=ELEMENT_GLOBAL.2.106444")</f>
        <v>http://explorer.natureserve.org/servlet/NatureServe?searchSpeciesUid=ELEMENT_GLOBAL.2.106444</v>
      </c>
      <c r="L268" s="25" t="s">
        <v>62</v>
      </c>
      <c r="M268" s="1" t="s">
        <v>915</v>
      </c>
      <c r="N268" s="1" t="s">
        <v>59</v>
      </c>
      <c r="O268" s="1" t="s">
        <v>32</v>
      </c>
      <c r="P268" s="26"/>
      <c r="Q268" s="1" t="s">
        <v>7</v>
      </c>
      <c r="R268" s="1" t="s">
        <v>55</v>
      </c>
      <c r="S268" s="1" t="s">
        <v>56</v>
      </c>
      <c r="T268" s="1" t="s">
        <v>98</v>
      </c>
      <c r="U268" s="1" t="s">
        <v>99</v>
      </c>
    </row>
    <row r="269" spans="1:21" ht="26.25" x14ac:dyDescent="0.25">
      <c r="A269" s="3" t="s">
        <v>882</v>
      </c>
      <c r="B269" s="2" t="s">
        <v>883</v>
      </c>
      <c r="C269" s="13" t="s">
        <v>1376</v>
      </c>
      <c r="D269" s="14" t="s">
        <v>1385</v>
      </c>
      <c r="E269" s="13"/>
      <c r="F269" s="13"/>
      <c r="G269" s="13"/>
      <c r="H269" s="13"/>
      <c r="I269" s="13"/>
      <c r="J269" s="13" t="s">
        <v>1471</v>
      </c>
      <c r="K269" s="6" t="str">
        <f>HYPERLINK("http://explorer.natureserve.org/servlet/NatureServe?searchSpeciesUid=ELEMENT_GLOBAL.2.110832")</f>
        <v>http://explorer.natureserve.org/servlet/NatureServe?searchSpeciesUid=ELEMENT_GLOBAL.2.110832</v>
      </c>
      <c r="L269" s="25" t="s">
        <v>884</v>
      </c>
      <c r="M269" s="1" t="s">
        <v>922</v>
      </c>
      <c r="N269" s="1" t="s">
        <v>12</v>
      </c>
      <c r="O269" s="1" t="s">
        <v>32</v>
      </c>
      <c r="P269" s="26"/>
      <c r="Q269" s="1" t="s">
        <v>7</v>
      </c>
      <c r="R269" s="1" t="s">
        <v>8</v>
      </c>
      <c r="S269" s="1" t="s">
        <v>9</v>
      </c>
      <c r="T269" s="1" t="s">
        <v>141</v>
      </c>
      <c r="U269" s="1" t="s">
        <v>639</v>
      </c>
    </row>
    <row r="270" spans="1:21" ht="26.25" x14ac:dyDescent="0.25">
      <c r="A270" s="3" t="s">
        <v>664</v>
      </c>
      <c r="B270" s="2" t="s">
        <v>665</v>
      </c>
      <c r="C270" s="13" t="s">
        <v>1395</v>
      </c>
      <c r="D270" s="13" t="s">
        <v>1395</v>
      </c>
      <c r="E270" s="13" t="s">
        <v>1393</v>
      </c>
      <c r="F270" s="13" t="s">
        <v>1395</v>
      </c>
      <c r="G270" s="13" t="s">
        <v>1395</v>
      </c>
      <c r="H270" s="13" t="s">
        <v>1395</v>
      </c>
      <c r="I270" s="13" t="s">
        <v>1395</v>
      </c>
      <c r="J270" s="13" t="s">
        <v>1477</v>
      </c>
      <c r="K270" s="6" t="str">
        <f>HYPERLINK("http://explorer.natureserve.org/servlet/NatureServe?searchSpeciesUid=ELEMENT_GLOBAL.2.161753")</f>
        <v>http://explorer.natureserve.org/servlet/NatureServe?searchSpeciesUid=ELEMENT_GLOBAL.2.161753</v>
      </c>
      <c r="L270" s="25" t="s">
        <v>62</v>
      </c>
      <c r="M270" s="1" t="s">
        <v>914</v>
      </c>
      <c r="N270" s="1" t="s">
        <v>160</v>
      </c>
      <c r="O270" s="1" t="s">
        <v>32</v>
      </c>
      <c r="P270" s="26"/>
      <c r="Q270" s="1" t="s">
        <v>105</v>
      </c>
      <c r="R270" s="1" t="s">
        <v>156</v>
      </c>
      <c r="S270" s="1" t="s">
        <v>157</v>
      </c>
      <c r="T270" s="1" t="s">
        <v>158</v>
      </c>
      <c r="U270" s="1" t="s">
        <v>159</v>
      </c>
    </row>
    <row r="271" spans="1:21" ht="26.25" x14ac:dyDescent="0.25">
      <c r="A271" s="3" t="s">
        <v>871</v>
      </c>
      <c r="B271" s="2" t="s">
        <v>872</v>
      </c>
      <c r="C271" s="13" t="s">
        <v>1395</v>
      </c>
      <c r="D271" s="13" t="s">
        <v>1395</v>
      </c>
      <c r="E271" s="13" t="s">
        <v>1393</v>
      </c>
      <c r="F271" s="13" t="s">
        <v>1395</v>
      </c>
      <c r="G271" s="13" t="s">
        <v>1395</v>
      </c>
      <c r="H271" s="13" t="s">
        <v>1395</v>
      </c>
      <c r="I271" s="13" t="s">
        <v>1395</v>
      </c>
      <c r="J271" s="13" t="s">
        <v>1477</v>
      </c>
      <c r="K271" s="6" t="str">
        <f>HYPERLINK("http://explorer.natureserve.org/servlet/NatureServe?searchSpeciesUid=ELEMENT_GLOBAL.2.147027")</f>
        <v>http://explorer.natureserve.org/servlet/NatureServe?searchSpeciesUid=ELEMENT_GLOBAL.2.147027</v>
      </c>
      <c r="L271" s="25" t="s">
        <v>62</v>
      </c>
      <c r="M271" s="1" t="s">
        <v>914</v>
      </c>
      <c r="N271" s="1" t="s">
        <v>160</v>
      </c>
      <c r="O271" s="1" t="s">
        <v>32</v>
      </c>
      <c r="P271" s="26"/>
      <c r="Q271" s="1" t="s">
        <v>105</v>
      </c>
      <c r="R271" s="1" t="s">
        <v>156</v>
      </c>
      <c r="S271" s="1" t="s">
        <v>157</v>
      </c>
      <c r="T271" s="1" t="s">
        <v>158</v>
      </c>
      <c r="U271" s="1" t="s">
        <v>159</v>
      </c>
    </row>
    <row r="272" spans="1:21" ht="26.25" x14ac:dyDescent="0.25">
      <c r="A272" s="3" t="s">
        <v>734</v>
      </c>
      <c r="B272" s="2" t="s">
        <v>735</v>
      </c>
      <c r="C272" s="13" t="s">
        <v>1389</v>
      </c>
      <c r="D272" s="14" t="s">
        <v>1423</v>
      </c>
      <c r="E272" s="14" t="s">
        <v>1423</v>
      </c>
      <c r="F272" s="14" t="s">
        <v>1423</v>
      </c>
      <c r="G272" s="14" t="s">
        <v>1423</v>
      </c>
      <c r="H272" s="14" t="s">
        <v>1423</v>
      </c>
      <c r="I272" s="14" t="s">
        <v>1423</v>
      </c>
      <c r="J272" s="13" t="s">
        <v>1473</v>
      </c>
      <c r="K272" s="6" t="str">
        <f>HYPERLINK("http://explorer.natureserve.org/servlet/NatureServe?searchSpeciesUid=ELEMENT_GLOBAL.2.101306")</f>
        <v>http://explorer.natureserve.org/servlet/NatureServe?searchSpeciesUid=ELEMENT_GLOBAL.2.101306</v>
      </c>
      <c r="L272" s="25" t="s">
        <v>62</v>
      </c>
      <c r="M272" s="1" t="s">
        <v>915</v>
      </c>
      <c r="N272" s="1" t="s">
        <v>59</v>
      </c>
      <c r="O272" s="1" t="s">
        <v>32</v>
      </c>
      <c r="P272" s="26"/>
      <c r="Q272" s="1" t="s">
        <v>7</v>
      </c>
      <c r="R272" s="1" t="s">
        <v>55</v>
      </c>
      <c r="S272" s="1" t="s">
        <v>56</v>
      </c>
      <c r="T272" s="1" t="s">
        <v>57</v>
      </c>
      <c r="U272" s="1" t="s">
        <v>733</v>
      </c>
    </row>
    <row r="273" spans="1:21" ht="26.25" x14ac:dyDescent="0.25">
      <c r="A273" s="3" t="s">
        <v>890</v>
      </c>
      <c r="B273" s="2" t="s">
        <v>891</v>
      </c>
      <c r="C273" s="13" t="s">
        <v>1365</v>
      </c>
      <c r="D273" s="14"/>
      <c r="E273" s="13"/>
      <c r="F273" s="13"/>
      <c r="G273" s="13"/>
      <c r="H273" s="13"/>
      <c r="I273" s="13"/>
      <c r="J273" s="29" t="s">
        <v>1470</v>
      </c>
      <c r="K273" s="6" t="s">
        <v>1175</v>
      </c>
      <c r="L273" s="25" t="s">
        <v>245</v>
      </c>
      <c r="M273" s="1" t="s">
        <v>914</v>
      </c>
      <c r="N273" s="1" t="s">
        <v>189</v>
      </c>
      <c r="O273" s="1" t="s">
        <v>32</v>
      </c>
      <c r="P273" s="26"/>
      <c r="Q273" s="1" t="s">
        <v>105</v>
      </c>
      <c r="R273" s="1" t="s">
        <v>185</v>
      </c>
      <c r="S273" s="1" t="s">
        <v>186</v>
      </c>
      <c r="T273" s="1" t="s">
        <v>187</v>
      </c>
      <c r="U273" s="1" t="s">
        <v>188</v>
      </c>
    </row>
    <row r="274" spans="1:21" ht="26.25" x14ac:dyDescent="0.25">
      <c r="A274" s="3" t="s">
        <v>752</v>
      </c>
      <c r="B274" s="2" t="s">
        <v>753</v>
      </c>
      <c r="C274" s="13"/>
      <c r="D274" s="14"/>
      <c r="E274" s="13" t="s">
        <v>1386</v>
      </c>
      <c r="F274" s="13" t="s">
        <v>1387</v>
      </c>
      <c r="G274" s="13"/>
      <c r="H274" s="13"/>
      <c r="I274" s="13"/>
      <c r="J274" s="13" t="s">
        <v>1471</v>
      </c>
      <c r="K274" s="6" t="s">
        <v>1176</v>
      </c>
      <c r="L274" s="25" t="s">
        <v>15</v>
      </c>
      <c r="M274" s="1" t="s">
        <v>914</v>
      </c>
      <c r="N274" s="1" t="s">
        <v>189</v>
      </c>
      <c r="O274" s="1" t="s">
        <v>32</v>
      </c>
      <c r="P274" s="26"/>
      <c r="Q274" s="1" t="s">
        <v>105</v>
      </c>
      <c r="R274" s="1" t="s">
        <v>185</v>
      </c>
      <c r="S274" s="1" t="s">
        <v>200</v>
      </c>
      <c r="T274" s="1" t="s">
        <v>750</v>
      </c>
      <c r="U274" s="1" t="s">
        <v>751</v>
      </c>
    </row>
    <row r="275" spans="1:21" ht="26.25" x14ac:dyDescent="0.25">
      <c r="A275" s="3" t="s">
        <v>815</v>
      </c>
      <c r="B275" s="2" t="s">
        <v>816</v>
      </c>
      <c r="C275" s="13" t="s">
        <v>1395</v>
      </c>
      <c r="D275" s="13" t="s">
        <v>1395</v>
      </c>
      <c r="E275" s="13" t="s">
        <v>1393</v>
      </c>
      <c r="F275" s="13" t="s">
        <v>1395</v>
      </c>
      <c r="G275" s="13" t="s">
        <v>1395</v>
      </c>
      <c r="H275" s="13" t="s">
        <v>1395</v>
      </c>
      <c r="I275" s="13" t="s">
        <v>1395</v>
      </c>
      <c r="J275" s="13" t="s">
        <v>1477</v>
      </c>
      <c r="K275" s="6" t="str">
        <f>HYPERLINK("http://explorer.natureserve.org/servlet/NatureServe?searchSpeciesUid=ELEMENT_GLOBAL.2.138935")</f>
        <v>http://explorer.natureserve.org/servlet/NatureServe?searchSpeciesUid=ELEMENT_GLOBAL.2.138935</v>
      </c>
      <c r="L275" s="25" t="s">
        <v>62</v>
      </c>
      <c r="M275" s="1" t="s">
        <v>914</v>
      </c>
      <c r="N275" s="1" t="s">
        <v>160</v>
      </c>
      <c r="O275" s="1" t="s">
        <v>32</v>
      </c>
      <c r="P275" s="26"/>
      <c r="Q275" s="1" t="s">
        <v>105</v>
      </c>
      <c r="R275" s="1" t="s">
        <v>185</v>
      </c>
      <c r="S275" s="1" t="s">
        <v>200</v>
      </c>
      <c r="T275" s="1" t="s">
        <v>750</v>
      </c>
      <c r="U275" s="1" t="s">
        <v>751</v>
      </c>
    </row>
    <row r="276" spans="1:21" ht="26.25" x14ac:dyDescent="0.25">
      <c r="A276" s="3" t="s">
        <v>521</v>
      </c>
      <c r="B276" s="2" t="s">
        <v>522</v>
      </c>
      <c r="C276" s="13"/>
      <c r="D276" s="14" t="s">
        <v>1366</v>
      </c>
      <c r="E276" s="13"/>
      <c r="F276" s="13"/>
      <c r="G276" s="13"/>
      <c r="H276" s="13"/>
      <c r="I276" s="13"/>
      <c r="J276" s="29" t="s">
        <v>1470</v>
      </c>
      <c r="K276" s="6" t="str">
        <f>HYPERLINK("http://explorer.natureserve.org/servlet/NatureServe?searchSpeciesUid=ELEMENT_GLOBAL.2.120997")</f>
        <v>http://explorer.natureserve.org/servlet/NatureServe?searchSpeciesUid=ELEMENT_GLOBAL.2.120997</v>
      </c>
      <c r="L276" s="25" t="s">
        <v>295</v>
      </c>
      <c r="M276" s="1" t="s">
        <v>915</v>
      </c>
      <c r="N276" s="1" t="s">
        <v>171</v>
      </c>
      <c r="O276" s="1" t="s">
        <v>32</v>
      </c>
      <c r="P276" s="26"/>
      <c r="Q276" s="1" t="s">
        <v>7</v>
      </c>
      <c r="R276" s="1" t="s">
        <v>55</v>
      </c>
      <c r="S276" s="1" t="s">
        <v>326</v>
      </c>
      <c r="T276" s="1" t="s">
        <v>327</v>
      </c>
      <c r="U276" s="1" t="s">
        <v>328</v>
      </c>
    </row>
    <row r="277" spans="1:21" ht="26.25" x14ac:dyDescent="0.25">
      <c r="A277" s="7" t="s">
        <v>1178</v>
      </c>
      <c r="B277" s="8" t="s">
        <v>1179</v>
      </c>
      <c r="C277" s="13"/>
      <c r="D277" s="14"/>
      <c r="E277" s="13"/>
      <c r="F277" s="13" t="s">
        <v>1402</v>
      </c>
      <c r="G277" s="13"/>
      <c r="H277" s="13"/>
      <c r="I277" s="13"/>
      <c r="J277" s="13" t="s">
        <v>1471</v>
      </c>
      <c r="K277" s="6" t="s">
        <v>1177</v>
      </c>
      <c r="L277" s="25" t="s">
        <v>116</v>
      </c>
      <c r="M277" s="1" t="s">
        <v>915</v>
      </c>
      <c r="N277" s="1" t="s">
        <v>171</v>
      </c>
      <c r="O277" s="1" t="s">
        <v>32</v>
      </c>
      <c r="P277" s="26" t="s">
        <v>54</v>
      </c>
      <c r="Q277" s="1" t="s">
        <v>7</v>
      </c>
      <c r="R277" s="1" t="s">
        <v>55</v>
      </c>
      <c r="S277" s="1" t="s">
        <v>168</v>
      </c>
      <c r="T277" s="1" t="s">
        <v>304</v>
      </c>
      <c r="U277" s="1" t="s">
        <v>305</v>
      </c>
    </row>
    <row r="278" spans="1:21" ht="26.25" x14ac:dyDescent="0.25">
      <c r="A278" s="3" t="s">
        <v>306</v>
      </c>
      <c r="B278" s="2" t="s">
        <v>307</v>
      </c>
      <c r="C278" s="13"/>
      <c r="D278" s="14"/>
      <c r="E278" s="13" t="s">
        <v>1379</v>
      </c>
      <c r="F278" s="13"/>
      <c r="G278" s="13"/>
      <c r="H278" s="13"/>
      <c r="I278" s="13"/>
      <c r="J278" s="29" t="s">
        <v>1470</v>
      </c>
      <c r="K278" s="6" t="s">
        <v>1180</v>
      </c>
      <c r="L278" s="25" t="s">
        <v>116</v>
      </c>
      <c r="M278" s="1" t="s">
        <v>915</v>
      </c>
      <c r="N278" s="1" t="s">
        <v>171</v>
      </c>
      <c r="O278" s="1" t="s">
        <v>32</v>
      </c>
      <c r="P278" s="26"/>
      <c r="Q278" s="1" t="s">
        <v>7</v>
      </c>
      <c r="R278" s="1" t="s">
        <v>55</v>
      </c>
      <c r="S278" s="1" t="s">
        <v>168</v>
      </c>
      <c r="T278" s="1" t="s">
        <v>304</v>
      </c>
      <c r="U278" s="1" t="s">
        <v>305</v>
      </c>
    </row>
    <row r="279" spans="1:21" ht="26.25" x14ac:dyDescent="0.25">
      <c r="A279" s="7" t="s">
        <v>306</v>
      </c>
      <c r="B279" s="8" t="s">
        <v>307</v>
      </c>
      <c r="C279" s="13"/>
      <c r="D279" s="14"/>
      <c r="E279" s="13" t="s">
        <v>1379</v>
      </c>
      <c r="F279" s="13"/>
      <c r="G279" s="13"/>
      <c r="H279" s="13"/>
      <c r="I279" s="13"/>
      <c r="J279" s="13" t="s">
        <v>1471</v>
      </c>
      <c r="K279" s="6" t="s">
        <v>1180</v>
      </c>
      <c r="L279" s="25" t="s">
        <v>35</v>
      </c>
      <c r="M279" s="1" t="s">
        <v>915</v>
      </c>
      <c r="N279" s="1" t="s">
        <v>171</v>
      </c>
      <c r="O279" s="1" t="s">
        <v>32</v>
      </c>
      <c r="P279" s="26" t="s">
        <v>54</v>
      </c>
      <c r="Q279" s="1" t="s">
        <v>7</v>
      </c>
      <c r="R279" s="1" t="s">
        <v>55</v>
      </c>
      <c r="S279" s="1" t="s">
        <v>168</v>
      </c>
      <c r="T279" s="1" t="s">
        <v>304</v>
      </c>
      <c r="U279" s="1" t="s">
        <v>305</v>
      </c>
    </row>
    <row r="280" spans="1:21" ht="39" x14ac:dyDescent="0.25">
      <c r="A280" s="3" t="s">
        <v>339</v>
      </c>
      <c r="B280" s="2" t="s">
        <v>340</v>
      </c>
      <c r="C280" s="13"/>
      <c r="D280" s="14"/>
      <c r="E280" s="13" t="s">
        <v>1379</v>
      </c>
      <c r="F280" s="13" t="s">
        <v>1402</v>
      </c>
      <c r="G280" s="13"/>
      <c r="H280" s="13"/>
      <c r="I280" s="13"/>
      <c r="J280" s="13" t="s">
        <v>1472</v>
      </c>
      <c r="K280" s="6" t="s">
        <v>1181</v>
      </c>
      <c r="L280" s="25" t="s">
        <v>52</v>
      </c>
      <c r="M280" s="1" t="s">
        <v>915</v>
      </c>
      <c r="N280" s="1" t="s">
        <v>171</v>
      </c>
      <c r="O280" s="1" t="s">
        <v>32</v>
      </c>
      <c r="P280" s="26"/>
      <c r="Q280" s="1" t="s">
        <v>7</v>
      </c>
      <c r="R280" s="1" t="s">
        <v>55</v>
      </c>
      <c r="S280" s="1" t="s">
        <v>168</v>
      </c>
      <c r="T280" s="1" t="s">
        <v>304</v>
      </c>
      <c r="U280" s="1" t="s">
        <v>305</v>
      </c>
    </row>
    <row r="281" spans="1:21" ht="26.25" x14ac:dyDescent="0.25">
      <c r="A281" s="3" t="s">
        <v>748</v>
      </c>
      <c r="B281" s="2" t="s">
        <v>749</v>
      </c>
      <c r="C281" s="13"/>
      <c r="D281" s="14"/>
      <c r="E281" s="13"/>
      <c r="F281" s="13" t="s">
        <v>1402</v>
      </c>
      <c r="G281" s="13" t="s">
        <v>151</v>
      </c>
      <c r="H281" s="13"/>
      <c r="I281" s="13"/>
      <c r="J281" s="13" t="s">
        <v>1471</v>
      </c>
      <c r="K281" s="6" t="s">
        <v>1182</v>
      </c>
      <c r="L281" s="25" t="s">
        <v>15</v>
      </c>
      <c r="M281" s="1" t="s">
        <v>915</v>
      </c>
      <c r="N281" s="1" t="s">
        <v>171</v>
      </c>
      <c r="O281" s="1" t="s">
        <v>32</v>
      </c>
      <c r="P281" s="26"/>
      <c r="Q281" s="1" t="s">
        <v>7</v>
      </c>
      <c r="R281" s="1" t="s">
        <v>55</v>
      </c>
      <c r="S281" s="1" t="s">
        <v>168</v>
      </c>
      <c r="T281" s="1" t="s">
        <v>304</v>
      </c>
      <c r="U281" s="1" t="s">
        <v>305</v>
      </c>
    </row>
    <row r="282" spans="1:21" ht="26.25" x14ac:dyDescent="0.25">
      <c r="A282" s="3" t="s">
        <v>742</v>
      </c>
      <c r="B282" s="2" t="s">
        <v>743</v>
      </c>
      <c r="C282" s="13"/>
      <c r="D282" s="14"/>
      <c r="E282" s="13" t="s">
        <v>1379</v>
      </c>
      <c r="F282" s="13" t="s">
        <v>1378</v>
      </c>
      <c r="G282" s="13"/>
      <c r="H282" s="13"/>
      <c r="I282" s="13"/>
      <c r="J282" s="29" t="s">
        <v>1470</v>
      </c>
      <c r="K282" s="6" t="s">
        <v>1183</v>
      </c>
      <c r="L282" s="25" t="s">
        <v>744</v>
      </c>
      <c r="M282" s="1" t="s">
        <v>915</v>
      </c>
      <c r="N282" s="1" t="s">
        <v>171</v>
      </c>
      <c r="O282" s="1" t="s">
        <v>32</v>
      </c>
      <c r="P282" s="26"/>
      <c r="Q282" s="1" t="s">
        <v>7</v>
      </c>
      <c r="R282" s="1" t="s">
        <v>55</v>
      </c>
      <c r="S282" s="1" t="s">
        <v>168</v>
      </c>
      <c r="T282" s="1" t="s">
        <v>304</v>
      </c>
      <c r="U282" s="1" t="s">
        <v>305</v>
      </c>
    </row>
    <row r="283" spans="1:21" ht="26.25" x14ac:dyDescent="0.25">
      <c r="A283" s="3" t="s">
        <v>880</v>
      </c>
      <c r="B283" s="2" t="s">
        <v>881</v>
      </c>
      <c r="C283" s="13"/>
      <c r="D283" s="14" t="s">
        <v>1388</v>
      </c>
      <c r="E283" s="13"/>
      <c r="F283" s="13"/>
      <c r="G283" s="13"/>
      <c r="H283" s="13"/>
      <c r="I283" s="13"/>
      <c r="J283" s="13" t="s">
        <v>1477</v>
      </c>
      <c r="K283" s="6" t="str">
        <f>HYPERLINK("http://explorer.natureserve.org/servlet/NatureServe?searchSpeciesUid=ELEMENT_GLOBAL.2.104723")</f>
        <v>http://explorer.natureserve.org/servlet/NatureServe?searchSpeciesUid=ELEMENT_GLOBAL.2.104723</v>
      </c>
      <c r="L283" s="25" t="s">
        <v>89</v>
      </c>
      <c r="M283" s="1" t="s">
        <v>915</v>
      </c>
      <c r="N283" s="1" t="s">
        <v>171</v>
      </c>
      <c r="O283" s="1" t="s">
        <v>32</v>
      </c>
      <c r="P283" s="26"/>
      <c r="Q283" s="1" t="s">
        <v>7</v>
      </c>
      <c r="R283" s="1" t="s">
        <v>55</v>
      </c>
      <c r="S283" s="1" t="s">
        <v>168</v>
      </c>
      <c r="T283" s="1" t="s">
        <v>304</v>
      </c>
      <c r="U283" s="1" t="s">
        <v>305</v>
      </c>
    </row>
    <row r="284" spans="1:21" ht="26.25" x14ac:dyDescent="0.25">
      <c r="A284" s="3" t="s">
        <v>324</v>
      </c>
      <c r="B284" s="2" t="s">
        <v>325</v>
      </c>
      <c r="C284" s="13" t="s">
        <v>1376</v>
      </c>
      <c r="D284" s="14" t="s">
        <v>1432</v>
      </c>
      <c r="E284" s="13" t="s">
        <v>1386</v>
      </c>
      <c r="F284" s="14" t="s">
        <v>1432</v>
      </c>
      <c r="G284" s="13"/>
      <c r="H284" s="13"/>
      <c r="I284" s="14" t="s">
        <v>1432</v>
      </c>
      <c r="J284" s="13" t="s">
        <v>1471</v>
      </c>
      <c r="K284" s="6" t="str">
        <f>HYPERLINK("http://explorer.natureserve.org/servlet/NatureServe?searchSpeciesUid=ELEMENT_GLOBAL.2.902145")</f>
        <v>http://explorer.natureserve.org/servlet/NatureServe?searchSpeciesUid=ELEMENT_GLOBAL.2.902145</v>
      </c>
      <c r="L284" s="25" t="s">
        <v>192</v>
      </c>
      <c r="M284" s="1" t="s">
        <v>922</v>
      </c>
      <c r="N284" s="1" t="s">
        <v>67</v>
      </c>
      <c r="O284" s="1" t="s">
        <v>68</v>
      </c>
      <c r="P284" s="26"/>
      <c r="Q284" s="1" t="s">
        <v>7</v>
      </c>
      <c r="R284" s="1" t="s">
        <v>63</v>
      </c>
      <c r="S284" s="1" t="s">
        <v>64</v>
      </c>
      <c r="T284" s="1" t="s">
        <v>65</v>
      </c>
      <c r="U284" s="1" t="s">
        <v>66</v>
      </c>
    </row>
    <row r="285" spans="1:21" ht="51.75" x14ac:dyDescent="0.25">
      <c r="A285" s="3" t="s">
        <v>510</v>
      </c>
      <c r="B285" s="2" t="s">
        <v>511</v>
      </c>
      <c r="C285" s="13"/>
      <c r="D285" s="14"/>
      <c r="E285" s="13" t="s">
        <v>1372</v>
      </c>
      <c r="F285" s="13" t="s">
        <v>1422</v>
      </c>
      <c r="G285" s="13"/>
      <c r="H285" s="13"/>
      <c r="I285" s="13"/>
      <c r="J285" s="13" t="s">
        <v>1478</v>
      </c>
      <c r="K285" s="6" t="s">
        <v>1184</v>
      </c>
      <c r="L285" s="25" t="s">
        <v>15</v>
      </c>
      <c r="M285" s="1" t="s">
        <v>922</v>
      </c>
      <c r="N285" s="1" t="s">
        <v>67</v>
      </c>
      <c r="O285" s="1" t="s">
        <v>68</v>
      </c>
      <c r="P285" s="26"/>
      <c r="Q285" s="1" t="s">
        <v>7</v>
      </c>
      <c r="R285" s="1" t="s">
        <v>63</v>
      </c>
      <c r="S285" s="1" t="s">
        <v>64</v>
      </c>
      <c r="T285" s="1" t="s">
        <v>65</v>
      </c>
      <c r="U285" s="1" t="s">
        <v>66</v>
      </c>
    </row>
    <row r="286" spans="1:21" ht="26.25" x14ac:dyDescent="0.25">
      <c r="A286" s="3" t="s">
        <v>266</v>
      </c>
      <c r="B286" s="2" t="s">
        <v>267</v>
      </c>
      <c r="C286" s="13"/>
      <c r="D286" s="14" t="s">
        <v>1388</v>
      </c>
      <c r="E286" s="13"/>
      <c r="F286" s="13"/>
      <c r="G286" s="13"/>
      <c r="H286" s="13"/>
      <c r="I286" s="13"/>
      <c r="J286" s="13" t="s">
        <v>1477</v>
      </c>
      <c r="K286" s="6" t="str">
        <f>HYPERLINK("http://explorer.natureserve.org/servlet/NatureServe?searchSpeciesUid=ELEMENT_GLOBAL.2.106548")</f>
        <v>http://explorer.natureserve.org/servlet/NatureServe?searchSpeciesUid=ELEMENT_GLOBAL.2.106548</v>
      </c>
      <c r="L286" s="25" t="s">
        <v>62</v>
      </c>
      <c r="M286" s="1" t="s">
        <v>915</v>
      </c>
      <c r="N286" s="1" t="s">
        <v>59</v>
      </c>
      <c r="O286" s="1" t="s">
        <v>32</v>
      </c>
      <c r="P286" s="26"/>
      <c r="Q286" s="1" t="s">
        <v>7</v>
      </c>
      <c r="R286" s="1" t="s">
        <v>55</v>
      </c>
      <c r="S286" s="1" t="s">
        <v>56</v>
      </c>
      <c r="T286" s="1" t="s">
        <v>57</v>
      </c>
      <c r="U286" s="1" t="s">
        <v>265</v>
      </c>
    </row>
    <row r="287" spans="1:21" ht="26.25" x14ac:dyDescent="0.25">
      <c r="A287" s="7" t="s">
        <v>1185</v>
      </c>
      <c r="B287" s="8" t="s">
        <v>1186</v>
      </c>
      <c r="C287" s="13" t="s">
        <v>1368</v>
      </c>
      <c r="D287" s="13" t="s">
        <v>1368</v>
      </c>
      <c r="E287" s="13" t="s">
        <v>1368</v>
      </c>
      <c r="F287" s="13"/>
      <c r="G287" s="13" t="s">
        <v>1368</v>
      </c>
      <c r="H287" s="13" t="s">
        <v>1368</v>
      </c>
      <c r="I287" s="13"/>
      <c r="J287" s="13" t="s">
        <v>1474</v>
      </c>
      <c r="K287" s="6" t="str">
        <f>HYPERLINK("http://explorer.natureserve.org/servlet/NatureServe?searchSpeciesUid=ELEMENT_GLOBAL.2.143556")</f>
        <v>http://explorer.natureserve.org/servlet/NatureServe?searchSpeciesUid=ELEMENT_GLOBAL.2.143556</v>
      </c>
      <c r="L287" s="25" t="s">
        <v>82</v>
      </c>
      <c r="M287" s="1" t="s">
        <v>914</v>
      </c>
      <c r="N287" s="1" t="s">
        <v>189</v>
      </c>
      <c r="O287" s="1" t="s">
        <v>32</v>
      </c>
      <c r="P287" s="26" t="s">
        <v>53</v>
      </c>
      <c r="Q287" s="1" t="s">
        <v>105</v>
      </c>
      <c r="R287" s="1" t="s">
        <v>185</v>
      </c>
      <c r="S287" s="1" t="s">
        <v>200</v>
      </c>
      <c r="T287" s="1" t="s">
        <v>811</v>
      </c>
      <c r="U287" s="1" t="s">
        <v>812</v>
      </c>
    </row>
    <row r="288" spans="1:21" ht="26.25" x14ac:dyDescent="0.25">
      <c r="A288" s="3" t="s">
        <v>353</v>
      </c>
      <c r="B288" s="2" t="s">
        <v>354</v>
      </c>
      <c r="C288" s="13" t="s">
        <v>1395</v>
      </c>
      <c r="D288" s="13" t="s">
        <v>1395</v>
      </c>
      <c r="E288" s="13" t="s">
        <v>1393</v>
      </c>
      <c r="F288" s="13" t="s">
        <v>1395</v>
      </c>
      <c r="G288" s="13" t="s">
        <v>1395</v>
      </c>
      <c r="H288" s="13" t="s">
        <v>1395</v>
      </c>
      <c r="I288" s="13" t="s">
        <v>1395</v>
      </c>
      <c r="J288" s="13" t="s">
        <v>1477</v>
      </c>
      <c r="K288" s="6" t="str">
        <f>HYPERLINK("http://explorer.natureserve.org/servlet/NatureServe?searchSpeciesUid=ELEMENT_GLOBAL.2.145742")</f>
        <v>http://explorer.natureserve.org/servlet/NatureServe?searchSpeciesUid=ELEMENT_GLOBAL.2.145742</v>
      </c>
      <c r="L288" s="25" t="s">
        <v>355</v>
      </c>
      <c r="M288" s="1" t="s">
        <v>914</v>
      </c>
      <c r="N288" s="1" t="s">
        <v>189</v>
      </c>
      <c r="O288" s="1" t="s">
        <v>444</v>
      </c>
      <c r="P288" s="26"/>
      <c r="Q288" s="1" t="s">
        <v>105</v>
      </c>
      <c r="R288" s="1" t="s">
        <v>185</v>
      </c>
      <c r="S288" s="1" t="s">
        <v>200</v>
      </c>
      <c r="T288" s="1" t="s">
        <v>186</v>
      </c>
      <c r="U288" s="1" t="s">
        <v>352</v>
      </c>
    </row>
    <row r="289" spans="1:21" ht="26.25" x14ac:dyDescent="0.25">
      <c r="A289" s="3" t="s">
        <v>823</v>
      </c>
      <c r="B289" s="2" t="s">
        <v>824</v>
      </c>
      <c r="C289" s="13" t="s">
        <v>1395</v>
      </c>
      <c r="D289" s="14"/>
      <c r="E289" s="13" t="s">
        <v>1393</v>
      </c>
      <c r="F289" s="13" t="s">
        <v>1395</v>
      </c>
      <c r="G289" s="13"/>
      <c r="H289" s="13"/>
      <c r="I289" s="13" t="s">
        <v>1395</v>
      </c>
      <c r="J289" s="13" t="s">
        <v>1477</v>
      </c>
      <c r="K289" s="6" t="s">
        <v>1187</v>
      </c>
      <c r="L289" s="25" t="s">
        <v>116</v>
      </c>
      <c r="M289" s="1" t="s">
        <v>914</v>
      </c>
      <c r="N289" s="1" t="s">
        <v>189</v>
      </c>
      <c r="O289" s="1" t="s">
        <v>68</v>
      </c>
      <c r="P289" s="26"/>
      <c r="Q289" s="1" t="s">
        <v>105</v>
      </c>
      <c r="R289" s="1" t="s">
        <v>185</v>
      </c>
      <c r="S289" s="1" t="s">
        <v>186</v>
      </c>
      <c r="T289" s="1" t="s">
        <v>670</v>
      </c>
      <c r="U289" s="1" t="s">
        <v>352</v>
      </c>
    </row>
    <row r="290" spans="1:21" ht="26.25" x14ac:dyDescent="0.25">
      <c r="A290" s="3" t="s">
        <v>894</v>
      </c>
      <c r="B290" s="2" t="s">
        <v>895</v>
      </c>
      <c r="C290" s="13"/>
      <c r="D290" s="14"/>
      <c r="E290" s="13" t="s">
        <v>1386</v>
      </c>
      <c r="F290" s="13"/>
      <c r="G290" s="13"/>
      <c r="H290" s="13"/>
      <c r="I290" s="13"/>
      <c r="J290" s="13" t="s">
        <v>1471</v>
      </c>
      <c r="K290" s="6" t="s">
        <v>1188</v>
      </c>
      <c r="L290" s="25" t="s">
        <v>62</v>
      </c>
      <c r="M290" s="1" t="s">
        <v>922</v>
      </c>
      <c r="N290" s="1" t="s">
        <v>21</v>
      </c>
      <c r="O290" s="1" t="s">
        <v>68</v>
      </c>
      <c r="P290" s="26"/>
      <c r="Q290" s="1" t="s">
        <v>7</v>
      </c>
      <c r="R290" s="1" t="s">
        <v>8</v>
      </c>
      <c r="S290" s="1" t="s">
        <v>71</v>
      </c>
      <c r="T290" s="1" t="s">
        <v>72</v>
      </c>
      <c r="U290" s="1" t="s">
        <v>73</v>
      </c>
    </row>
    <row r="291" spans="1:21" ht="26.25" x14ac:dyDescent="0.25">
      <c r="A291" s="3" t="s">
        <v>335</v>
      </c>
      <c r="B291" s="2" t="s">
        <v>336</v>
      </c>
      <c r="C291" s="13" t="s">
        <v>1433</v>
      </c>
      <c r="D291" s="14" t="s">
        <v>1373</v>
      </c>
      <c r="E291" s="13" t="s">
        <v>1433</v>
      </c>
      <c r="F291" s="13" t="s">
        <v>1433</v>
      </c>
      <c r="G291" s="13" t="s">
        <v>1433</v>
      </c>
      <c r="H291" s="13"/>
      <c r="I291" s="13" t="s">
        <v>1433</v>
      </c>
      <c r="J291" s="13" t="s">
        <v>1473</v>
      </c>
      <c r="K291" s="6" t="str">
        <f>HYPERLINK("http://explorer.natureserve.org/servlet/NatureServe?searchSpeciesUid=ELEMENT_GLOBAL.2.120636")</f>
        <v>http://explorer.natureserve.org/servlet/NatureServe?searchSpeciesUid=ELEMENT_GLOBAL.2.120636</v>
      </c>
      <c r="L291" s="25" t="s">
        <v>62</v>
      </c>
      <c r="M291" s="1" t="s">
        <v>922</v>
      </c>
      <c r="N291" s="1" t="s">
        <v>12</v>
      </c>
      <c r="O291" s="1" t="s">
        <v>32</v>
      </c>
      <c r="P291" s="26"/>
      <c r="Q291" s="1" t="s">
        <v>7</v>
      </c>
      <c r="R291" s="1" t="s">
        <v>8</v>
      </c>
      <c r="S291" s="1" t="s">
        <v>9</v>
      </c>
      <c r="T291" s="1" t="s">
        <v>207</v>
      </c>
      <c r="U291" s="1" t="s">
        <v>334</v>
      </c>
    </row>
    <row r="292" spans="1:21" ht="26.25" x14ac:dyDescent="0.25">
      <c r="A292" s="3" t="s">
        <v>676</v>
      </c>
      <c r="B292" s="2" t="s">
        <v>677</v>
      </c>
      <c r="C292" s="13" t="s">
        <v>1395</v>
      </c>
      <c r="D292" s="14"/>
      <c r="E292" s="13" t="s">
        <v>1393</v>
      </c>
      <c r="F292" s="13"/>
      <c r="G292" s="13" t="s">
        <v>1395</v>
      </c>
      <c r="H292" s="13" t="s">
        <v>1395</v>
      </c>
      <c r="I292" s="13" t="s">
        <v>1395</v>
      </c>
      <c r="J292" s="13" t="s">
        <v>1477</v>
      </c>
      <c r="K292" s="6" t="s">
        <v>1189</v>
      </c>
      <c r="L292" s="25" t="s">
        <v>62</v>
      </c>
      <c r="M292" s="1" t="s">
        <v>915</v>
      </c>
      <c r="N292" s="1" t="s">
        <v>59</v>
      </c>
      <c r="O292" s="1" t="s">
        <v>32</v>
      </c>
      <c r="P292" s="26"/>
      <c r="Q292" s="1" t="s">
        <v>7</v>
      </c>
      <c r="R292" s="1" t="s">
        <v>55</v>
      </c>
      <c r="S292" s="1" t="s">
        <v>56</v>
      </c>
      <c r="T292" s="1" t="s">
        <v>57</v>
      </c>
      <c r="U292" s="1" t="s">
        <v>236</v>
      </c>
    </row>
    <row r="293" spans="1:21" ht="26.25" x14ac:dyDescent="0.25">
      <c r="A293" s="2" t="s">
        <v>1323</v>
      </c>
      <c r="B293" s="2" t="s">
        <v>399</v>
      </c>
      <c r="C293" s="13" t="s">
        <v>1403</v>
      </c>
      <c r="D293" s="14" t="s">
        <v>1420</v>
      </c>
      <c r="E293" s="13"/>
      <c r="F293" s="13"/>
      <c r="G293" s="14" t="s">
        <v>1420</v>
      </c>
      <c r="H293" s="13"/>
      <c r="I293" s="13"/>
      <c r="J293" s="13" t="s">
        <v>1477</v>
      </c>
      <c r="K293" s="6" t="str">
        <f>HYPERLINK("http://explorer.natureserve.org/servlet/NatureServe?searchSpeciesUid=ELEMENT_GLOBAL.2.131622")</f>
        <v>http://explorer.natureserve.org/servlet/NatureServe?searchSpeciesUid=ELEMENT_GLOBAL.2.131622</v>
      </c>
      <c r="L293" s="25" t="s">
        <v>400</v>
      </c>
      <c r="M293" s="1" t="s">
        <v>914</v>
      </c>
      <c r="N293" s="1" t="s">
        <v>252</v>
      </c>
      <c r="O293" s="1" t="s">
        <v>32</v>
      </c>
      <c r="P293" s="26"/>
      <c r="Q293" s="1" t="s">
        <v>105</v>
      </c>
      <c r="R293" s="1" t="s">
        <v>185</v>
      </c>
      <c r="S293" s="1" t="s">
        <v>200</v>
      </c>
      <c r="T293" s="1" t="s">
        <v>201</v>
      </c>
      <c r="U293" s="1" t="s">
        <v>202</v>
      </c>
    </row>
    <row r="294" spans="1:21" ht="26.25" x14ac:dyDescent="0.25">
      <c r="A294" s="3" t="s">
        <v>203</v>
      </c>
      <c r="B294" s="2" t="s">
        <v>204</v>
      </c>
      <c r="C294" s="13" t="s">
        <v>1405</v>
      </c>
      <c r="D294" s="13" t="s">
        <v>1405</v>
      </c>
      <c r="E294" s="13" t="s">
        <v>1372</v>
      </c>
      <c r="F294" s="13" t="s">
        <v>1405</v>
      </c>
      <c r="G294" s="13" t="s">
        <v>1405</v>
      </c>
      <c r="H294" s="13" t="s">
        <v>1405</v>
      </c>
      <c r="I294" s="13" t="s">
        <v>1405</v>
      </c>
      <c r="J294" s="13" t="s">
        <v>1474</v>
      </c>
      <c r="K294" s="6" t="str">
        <f>HYPERLINK("http://explorer.natureserve.org/servlet/NatureServe?searchSpeciesUid=ELEMENT_GLOBAL.2.159253")</f>
        <v>http://explorer.natureserve.org/servlet/NatureServe?searchSpeciesUid=ELEMENT_GLOBAL.2.159253</v>
      </c>
      <c r="L294" s="25" t="s">
        <v>62</v>
      </c>
      <c r="M294" s="1" t="s">
        <v>914</v>
      </c>
      <c r="N294" s="1" t="s">
        <v>160</v>
      </c>
      <c r="O294" s="1" t="s">
        <v>32</v>
      </c>
      <c r="P294" s="26"/>
      <c r="Q294" s="1" t="s">
        <v>105</v>
      </c>
      <c r="R294" s="1" t="s">
        <v>185</v>
      </c>
      <c r="S294" s="1" t="s">
        <v>200</v>
      </c>
      <c r="T294" s="1" t="s">
        <v>201</v>
      </c>
      <c r="U294" s="1" t="s">
        <v>202</v>
      </c>
    </row>
    <row r="295" spans="1:21" ht="26.25" x14ac:dyDescent="0.25">
      <c r="A295" s="4" t="s">
        <v>596</v>
      </c>
      <c r="B295" s="2" t="s">
        <v>597</v>
      </c>
      <c r="C295" s="13" t="s">
        <v>1376</v>
      </c>
      <c r="D295" s="14"/>
      <c r="E295" s="14" t="s">
        <v>1385</v>
      </c>
      <c r="F295" s="14" t="s">
        <v>1385</v>
      </c>
      <c r="G295" s="13"/>
      <c r="H295" s="14" t="s">
        <v>1385</v>
      </c>
      <c r="I295" s="14" t="s">
        <v>1385</v>
      </c>
      <c r="J295" s="13" t="s">
        <v>1471</v>
      </c>
      <c r="K295" s="6" t="s">
        <v>1190</v>
      </c>
      <c r="L295" s="25" t="s">
        <v>62</v>
      </c>
      <c r="M295" s="1" t="s">
        <v>915</v>
      </c>
      <c r="N295" s="1" t="s">
        <v>171</v>
      </c>
      <c r="O295" s="1" t="s">
        <v>32</v>
      </c>
      <c r="P295" s="26"/>
      <c r="Q295" s="1" t="s">
        <v>7</v>
      </c>
      <c r="R295" s="1" t="s">
        <v>55</v>
      </c>
      <c r="S295" s="1" t="s">
        <v>168</v>
      </c>
      <c r="T295" s="1" t="s">
        <v>169</v>
      </c>
      <c r="U295" s="1" t="s">
        <v>170</v>
      </c>
    </row>
    <row r="296" spans="1:21" ht="26.25" x14ac:dyDescent="0.25">
      <c r="A296" s="3" t="s">
        <v>268</v>
      </c>
      <c r="B296" s="2" t="s">
        <v>269</v>
      </c>
      <c r="C296" s="13"/>
      <c r="D296" s="14" t="s">
        <v>1367</v>
      </c>
      <c r="E296" s="13"/>
      <c r="F296" s="13"/>
      <c r="G296" s="13"/>
      <c r="H296" s="13"/>
      <c r="I296" s="13"/>
      <c r="J296" s="13" t="s">
        <v>1474</v>
      </c>
      <c r="K296" s="6" t="str">
        <f>HYPERLINK("http://explorer.natureserve.org/servlet/NatureServe?searchSpeciesUid=ELEMENT_GLOBAL.2.806592")</f>
        <v>http://explorer.natureserve.org/servlet/NatureServe?searchSpeciesUid=ELEMENT_GLOBAL.2.806592</v>
      </c>
      <c r="L296" s="25" t="s">
        <v>62</v>
      </c>
      <c r="M296" s="1" t="s">
        <v>915</v>
      </c>
      <c r="N296" s="1" t="s">
        <v>171</v>
      </c>
      <c r="O296" s="1" t="s">
        <v>32</v>
      </c>
      <c r="P296" s="26"/>
      <c r="Q296" s="1" t="s">
        <v>7</v>
      </c>
      <c r="R296" s="1" t="s">
        <v>55</v>
      </c>
      <c r="S296" s="1" t="s">
        <v>168</v>
      </c>
      <c r="T296" s="1" t="s">
        <v>169</v>
      </c>
      <c r="U296" s="1" t="s">
        <v>170</v>
      </c>
    </row>
    <row r="297" spans="1:21" ht="26.25" x14ac:dyDescent="0.25">
      <c r="A297" s="3" t="s">
        <v>885</v>
      </c>
      <c r="B297" s="2" t="s">
        <v>886</v>
      </c>
      <c r="C297" s="13"/>
      <c r="D297" s="14" t="s">
        <v>1367</v>
      </c>
      <c r="E297" s="13"/>
      <c r="F297" s="13"/>
      <c r="G297" s="13"/>
      <c r="H297" s="13"/>
      <c r="I297" s="13"/>
      <c r="J297" s="13" t="s">
        <v>1474</v>
      </c>
      <c r="K297" s="6" t="str">
        <f>HYPERLINK("http://explorer.natureserve.org/servlet/NatureServe?searchSpeciesUid=ELEMENT_GLOBAL.2.806626")</f>
        <v>http://explorer.natureserve.org/servlet/NatureServe?searchSpeciesUid=ELEMENT_GLOBAL.2.806626</v>
      </c>
      <c r="L297" s="25" t="s">
        <v>62</v>
      </c>
      <c r="M297" s="1" t="s">
        <v>915</v>
      </c>
      <c r="N297" s="1" t="s">
        <v>171</v>
      </c>
      <c r="O297" s="1" t="s">
        <v>32</v>
      </c>
      <c r="P297" s="26"/>
      <c r="Q297" s="1" t="s">
        <v>7</v>
      </c>
      <c r="R297" s="1" t="s">
        <v>55</v>
      </c>
      <c r="S297" s="1" t="s">
        <v>168</v>
      </c>
      <c r="T297" s="1" t="s">
        <v>169</v>
      </c>
      <c r="U297" s="1" t="s">
        <v>170</v>
      </c>
    </row>
    <row r="298" spans="1:21" ht="26.25" x14ac:dyDescent="0.25">
      <c r="A298" s="3" t="s">
        <v>838</v>
      </c>
      <c r="B298" s="2" t="s">
        <v>839</v>
      </c>
      <c r="C298" s="13"/>
      <c r="D298" s="14"/>
      <c r="E298" s="13" t="s">
        <v>1393</v>
      </c>
      <c r="F298" s="13"/>
      <c r="G298" s="13"/>
      <c r="H298" s="13"/>
      <c r="I298" s="13"/>
      <c r="J298" s="13" t="s">
        <v>1477</v>
      </c>
      <c r="K298" s="6" t="s">
        <v>1191</v>
      </c>
      <c r="L298" s="25" t="s">
        <v>15</v>
      </c>
      <c r="M298" s="1" t="s">
        <v>922</v>
      </c>
      <c r="N298" s="1" t="s">
        <v>12</v>
      </c>
      <c r="O298" s="1" t="s">
        <v>13</v>
      </c>
      <c r="P298" s="26"/>
      <c r="Q298" s="1" t="s">
        <v>7</v>
      </c>
      <c r="R298" s="1" t="s">
        <v>8</v>
      </c>
      <c r="S298" s="1" t="s">
        <v>9</v>
      </c>
      <c r="T298" s="1" t="s">
        <v>10</v>
      </c>
      <c r="U298" s="1" t="s">
        <v>11</v>
      </c>
    </row>
    <row r="299" spans="1:21" ht="26.25" x14ac:dyDescent="0.25">
      <c r="A299" s="3" t="s">
        <v>502</v>
      </c>
      <c r="B299" s="2" t="s">
        <v>503</v>
      </c>
      <c r="C299" s="13"/>
      <c r="D299" s="14"/>
      <c r="E299" s="13"/>
      <c r="F299" s="13" t="s">
        <v>1374</v>
      </c>
      <c r="G299" s="13" t="s">
        <v>151</v>
      </c>
      <c r="H299" s="13"/>
      <c r="I299" s="13"/>
      <c r="J299" s="13" t="s">
        <v>1477</v>
      </c>
      <c r="K299" s="6" t="s">
        <v>1192</v>
      </c>
      <c r="L299" s="25" t="s">
        <v>15</v>
      </c>
      <c r="M299" s="1" t="s">
        <v>922</v>
      </c>
      <c r="N299" s="1" t="s">
        <v>12</v>
      </c>
      <c r="O299" s="1" t="s">
        <v>13</v>
      </c>
      <c r="P299" s="26"/>
      <c r="Q299" s="1" t="s">
        <v>7</v>
      </c>
      <c r="R299" s="1" t="s">
        <v>8</v>
      </c>
      <c r="S299" s="1" t="s">
        <v>9</v>
      </c>
      <c r="T299" s="1" t="s">
        <v>10</v>
      </c>
      <c r="U299" s="1" t="s">
        <v>11</v>
      </c>
    </row>
    <row r="300" spans="1:21" ht="26.25" x14ac:dyDescent="0.25">
      <c r="A300" s="3" t="s">
        <v>536</v>
      </c>
      <c r="B300" s="2" t="s">
        <v>537</v>
      </c>
      <c r="C300" s="13"/>
      <c r="D300" s="14"/>
      <c r="E300" s="13" t="s">
        <v>1393</v>
      </c>
      <c r="F300" s="13"/>
      <c r="G300" s="13"/>
      <c r="H300" s="13"/>
      <c r="I300" s="13"/>
      <c r="J300" s="13" t="s">
        <v>1477</v>
      </c>
      <c r="K300" s="6" t="s">
        <v>1193</v>
      </c>
      <c r="L300" s="25" t="s">
        <v>15</v>
      </c>
      <c r="M300" s="1" t="s">
        <v>922</v>
      </c>
      <c r="N300" s="1" t="s">
        <v>12</v>
      </c>
      <c r="O300" s="1" t="s">
        <v>13</v>
      </c>
      <c r="P300" s="26"/>
      <c r="Q300" s="1" t="s">
        <v>7</v>
      </c>
      <c r="R300" s="1" t="s">
        <v>8</v>
      </c>
      <c r="S300" s="1" t="s">
        <v>9</v>
      </c>
      <c r="T300" s="1" t="s">
        <v>10</v>
      </c>
      <c r="U300" s="1" t="s">
        <v>11</v>
      </c>
    </row>
    <row r="301" spans="1:21" ht="26.25" x14ac:dyDescent="0.25">
      <c r="A301" s="3" t="s">
        <v>359</v>
      </c>
      <c r="B301" s="2" t="s">
        <v>360</v>
      </c>
      <c r="C301" s="13"/>
      <c r="D301" s="14"/>
      <c r="E301" s="13" t="s">
        <v>1393</v>
      </c>
      <c r="F301" s="13"/>
      <c r="G301" s="13"/>
      <c r="H301" s="13"/>
      <c r="I301" s="13"/>
      <c r="J301" s="13" t="s">
        <v>1477</v>
      </c>
      <c r="K301" s="6" t="s">
        <v>1194</v>
      </c>
      <c r="L301" s="25" t="s">
        <v>15</v>
      </c>
      <c r="M301" s="1" t="s">
        <v>922</v>
      </c>
      <c r="N301" s="1" t="s">
        <v>12</v>
      </c>
      <c r="O301" s="1" t="s">
        <v>13</v>
      </c>
      <c r="P301" s="26"/>
      <c r="Q301" s="1" t="s">
        <v>7</v>
      </c>
      <c r="R301" s="1" t="s">
        <v>8</v>
      </c>
      <c r="S301" s="1" t="s">
        <v>9</v>
      </c>
      <c r="T301" s="1" t="s">
        <v>10</v>
      </c>
      <c r="U301" s="1" t="s">
        <v>11</v>
      </c>
    </row>
    <row r="302" spans="1:21" ht="26.25" x14ac:dyDescent="0.25">
      <c r="A302" s="3" t="s">
        <v>738</v>
      </c>
      <c r="B302" s="2" t="s">
        <v>739</v>
      </c>
      <c r="C302" s="13"/>
      <c r="D302" s="14"/>
      <c r="E302" s="13" t="s">
        <v>1393</v>
      </c>
      <c r="F302" s="13"/>
      <c r="G302" s="13"/>
      <c r="H302" s="13"/>
      <c r="I302" s="13"/>
      <c r="J302" s="13" t="s">
        <v>1477</v>
      </c>
      <c r="K302" s="6" t="s">
        <v>1195</v>
      </c>
      <c r="L302" s="25" t="s">
        <v>15</v>
      </c>
      <c r="M302" s="1" t="s">
        <v>922</v>
      </c>
      <c r="N302" s="1" t="s">
        <v>12</v>
      </c>
      <c r="O302" s="1" t="s">
        <v>13</v>
      </c>
      <c r="P302" s="26"/>
      <c r="Q302" s="1" t="s">
        <v>7</v>
      </c>
      <c r="R302" s="1" t="s">
        <v>8</v>
      </c>
      <c r="S302" s="1" t="s">
        <v>9</v>
      </c>
      <c r="T302" s="1" t="s">
        <v>10</v>
      </c>
      <c r="U302" s="1" t="s">
        <v>11</v>
      </c>
    </row>
    <row r="303" spans="1:21" ht="26.25" x14ac:dyDescent="0.25">
      <c r="A303" s="2" t="s">
        <v>1324</v>
      </c>
      <c r="B303" s="2" t="s">
        <v>14</v>
      </c>
      <c r="C303" s="13"/>
      <c r="D303" s="14"/>
      <c r="E303" s="13" t="s">
        <v>1393</v>
      </c>
      <c r="F303" s="13"/>
      <c r="G303" s="13"/>
      <c r="H303" s="13"/>
      <c r="I303" s="13"/>
      <c r="J303" s="13" t="s">
        <v>1477</v>
      </c>
      <c r="K303" s="6" t="s">
        <v>1196</v>
      </c>
      <c r="L303" s="25" t="s">
        <v>15</v>
      </c>
      <c r="M303" s="1" t="s">
        <v>922</v>
      </c>
      <c r="N303" s="1" t="s">
        <v>12</v>
      </c>
      <c r="O303" s="1" t="s">
        <v>13</v>
      </c>
      <c r="P303" s="26"/>
      <c r="Q303" s="1" t="s">
        <v>7</v>
      </c>
      <c r="R303" s="1" t="s">
        <v>8</v>
      </c>
      <c r="S303" s="1" t="s">
        <v>9</v>
      </c>
      <c r="T303" s="1" t="s">
        <v>10</v>
      </c>
      <c r="U303" s="1" t="s">
        <v>11</v>
      </c>
    </row>
    <row r="304" spans="1:21" ht="26.25" x14ac:dyDescent="0.25">
      <c r="A304" s="2" t="s">
        <v>1325</v>
      </c>
      <c r="B304" s="2" t="s">
        <v>14</v>
      </c>
      <c r="C304" s="13"/>
      <c r="D304" s="14"/>
      <c r="E304" s="13" t="s">
        <v>1393</v>
      </c>
      <c r="F304" s="13"/>
      <c r="G304" s="13"/>
      <c r="H304" s="13"/>
      <c r="I304" s="13"/>
      <c r="J304" s="13" t="s">
        <v>1477</v>
      </c>
      <c r="K304" s="6" t="s">
        <v>1197</v>
      </c>
      <c r="L304" s="25" t="s">
        <v>15</v>
      </c>
      <c r="M304" s="1" t="s">
        <v>922</v>
      </c>
      <c r="N304" s="1" t="s">
        <v>12</v>
      </c>
      <c r="O304" s="1" t="s">
        <v>13</v>
      </c>
      <c r="P304" s="26"/>
      <c r="Q304" s="1" t="s">
        <v>7</v>
      </c>
      <c r="R304" s="1" t="s">
        <v>8</v>
      </c>
      <c r="S304" s="1" t="s">
        <v>9</v>
      </c>
      <c r="T304" s="1" t="s">
        <v>10</v>
      </c>
      <c r="U304" s="1" t="s">
        <v>11</v>
      </c>
    </row>
    <row r="305" spans="1:21" ht="26.25" x14ac:dyDescent="0.25">
      <c r="A305" s="2" t="s">
        <v>1326</v>
      </c>
      <c r="B305" s="2" t="s">
        <v>14</v>
      </c>
      <c r="C305" s="13"/>
      <c r="D305" s="14"/>
      <c r="E305" s="13" t="s">
        <v>1393</v>
      </c>
      <c r="F305" s="13"/>
      <c r="G305" s="13"/>
      <c r="H305" s="13"/>
      <c r="I305" s="13"/>
      <c r="J305" s="13" t="s">
        <v>1477</v>
      </c>
      <c r="K305" s="6" t="s">
        <v>1198</v>
      </c>
      <c r="L305" s="25" t="s">
        <v>15</v>
      </c>
      <c r="M305" s="1" t="s">
        <v>922</v>
      </c>
      <c r="N305" s="1" t="s">
        <v>12</v>
      </c>
      <c r="O305" s="1" t="s">
        <v>13</v>
      </c>
      <c r="P305" s="26"/>
      <c r="Q305" s="1" t="s">
        <v>7</v>
      </c>
      <c r="R305" s="1" t="s">
        <v>8</v>
      </c>
      <c r="S305" s="1" t="s">
        <v>9</v>
      </c>
      <c r="T305" s="1" t="s">
        <v>10</v>
      </c>
      <c r="U305" s="1" t="s">
        <v>11</v>
      </c>
    </row>
    <row r="306" spans="1:21" ht="26.25" x14ac:dyDescent="0.25">
      <c r="A306" s="3" t="s">
        <v>440</v>
      </c>
      <c r="B306" s="2" t="s">
        <v>441</v>
      </c>
      <c r="C306" s="13"/>
      <c r="D306" s="14"/>
      <c r="E306" s="13" t="s">
        <v>1393</v>
      </c>
      <c r="F306" s="13"/>
      <c r="G306" s="13"/>
      <c r="H306" s="13"/>
      <c r="I306" s="13"/>
      <c r="J306" s="13" t="s">
        <v>1477</v>
      </c>
      <c r="K306" s="6" t="s">
        <v>1199</v>
      </c>
      <c r="L306" s="25" t="s">
        <v>15</v>
      </c>
      <c r="M306" s="1" t="s">
        <v>922</v>
      </c>
      <c r="N306" s="1" t="s">
        <v>21</v>
      </c>
      <c r="O306" s="1" t="s">
        <v>13</v>
      </c>
      <c r="P306" s="26"/>
      <c r="Q306" s="1" t="s">
        <v>7</v>
      </c>
      <c r="R306" s="1" t="s">
        <v>8</v>
      </c>
      <c r="S306" s="1" t="s">
        <v>23</v>
      </c>
      <c r="T306" s="1" t="s">
        <v>24</v>
      </c>
      <c r="U306" s="1" t="s">
        <v>439</v>
      </c>
    </row>
    <row r="307" spans="1:21" ht="26.25" x14ac:dyDescent="0.25">
      <c r="A307" s="3" t="s">
        <v>452</v>
      </c>
      <c r="B307" s="2" t="s">
        <v>453</v>
      </c>
      <c r="C307" s="13"/>
      <c r="D307" s="14"/>
      <c r="E307" s="13" t="s">
        <v>1393</v>
      </c>
      <c r="F307" s="13"/>
      <c r="G307" s="13"/>
      <c r="H307" s="13"/>
      <c r="I307" s="13"/>
      <c r="J307" s="13" t="s">
        <v>1477</v>
      </c>
      <c r="K307" s="6" t="s">
        <v>1200</v>
      </c>
      <c r="L307" s="25" t="s">
        <v>15</v>
      </c>
      <c r="M307" s="1" t="s">
        <v>922</v>
      </c>
      <c r="N307" s="1" t="s">
        <v>21</v>
      </c>
      <c r="O307" s="1" t="s">
        <v>13</v>
      </c>
      <c r="P307" s="26"/>
      <c r="Q307" s="1" t="s">
        <v>7</v>
      </c>
      <c r="R307" s="1" t="s">
        <v>8</v>
      </c>
      <c r="S307" s="1" t="s">
        <v>298</v>
      </c>
      <c r="T307" s="1" t="s">
        <v>449</v>
      </c>
      <c r="U307" s="1" t="s">
        <v>450</v>
      </c>
    </row>
    <row r="308" spans="1:21" ht="26.25" x14ac:dyDescent="0.25">
      <c r="A308" s="3" t="s">
        <v>772</v>
      </c>
      <c r="B308" s="2" t="s">
        <v>773</v>
      </c>
      <c r="C308" s="13"/>
      <c r="D308" s="14"/>
      <c r="E308" s="13" t="s">
        <v>1393</v>
      </c>
      <c r="F308" s="13"/>
      <c r="G308" s="13"/>
      <c r="H308" s="13"/>
      <c r="I308" s="13"/>
      <c r="J308" s="13" t="s">
        <v>1477</v>
      </c>
      <c r="K308" s="6" t="s">
        <v>1201</v>
      </c>
      <c r="L308" s="25" t="s">
        <v>15</v>
      </c>
      <c r="M308" s="1" t="s">
        <v>922</v>
      </c>
      <c r="N308" s="1" t="s">
        <v>21</v>
      </c>
      <c r="O308" s="1" t="s">
        <v>13</v>
      </c>
      <c r="P308" s="26"/>
      <c r="Q308" s="1" t="s">
        <v>7</v>
      </c>
      <c r="R308" s="1" t="s">
        <v>8</v>
      </c>
      <c r="S308" s="1" t="s">
        <v>298</v>
      </c>
      <c r="T308" s="1" t="s">
        <v>449</v>
      </c>
      <c r="U308" s="1" t="s">
        <v>450</v>
      </c>
    </row>
    <row r="309" spans="1:21" ht="26.25" x14ac:dyDescent="0.25">
      <c r="A309" s="2" t="s">
        <v>1327</v>
      </c>
      <c r="B309" s="2" t="s">
        <v>451</v>
      </c>
      <c r="C309" s="13"/>
      <c r="D309" s="14"/>
      <c r="E309" s="13" t="s">
        <v>1393</v>
      </c>
      <c r="F309" s="13"/>
      <c r="G309" s="13"/>
      <c r="H309" s="13"/>
      <c r="I309" s="13"/>
      <c r="J309" s="13" t="s">
        <v>1477</v>
      </c>
      <c r="K309" s="6" t="s">
        <v>1202</v>
      </c>
      <c r="L309" s="25" t="s">
        <v>309</v>
      </c>
      <c r="M309" s="1" t="s">
        <v>922</v>
      </c>
      <c r="N309" s="1" t="s">
        <v>21</v>
      </c>
      <c r="O309" s="1" t="s">
        <v>13</v>
      </c>
      <c r="P309" s="26"/>
      <c r="Q309" s="1" t="s">
        <v>7</v>
      </c>
      <c r="R309" s="1" t="s">
        <v>8</v>
      </c>
      <c r="S309" s="1" t="s">
        <v>298</v>
      </c>
      <c r="T309" s="1" t="s">
        <v>449</v>
      </c>
      <c r="U309" s="1" t="s">
        <v>450</v>
      </c>
    </row>
    <row r="310" spans="1:21" ht="26.25" x14ac:dyDescent="0.25">
      <c r="A310" s="3" t="s">
        <v>576</v>
      </c>
      <c r="B310" s="2" t="s">
        <v>577</v>
      </c>
      <c r="C310" s="13"/>
      <c r="D310" s="14"/>
      <c r="E310" s="13" t="s">
        <v>1372</v>
      </c>
      <c r="F310" s="13"/>
      <c r="G310" s="13"/>
      <c r="H310" s="13"/>
      <c r="I310" s="13"/>
      <c r="J310" s="13" t="s">
        <v>1474</v>
      </c>
      <c r="K310" s="6" t="s">
        <v>1203</v>
      </c>
      <c r="L310" s="25" t="s">
        <v>400</v>
      </c>
      <c r="M310" s="1" t="s">
        <v>915</v>
      </c>
      <c r="N310" s="1" t="s">
        <v>171</v>
      </c>
      <c r="O310" s="1" t="s">
        <v>32</v>
      </c>
      <c r="P310" s="26"/>
      <c r="Q310" s="1" t="s">
        <v>7</v>
      </c>
      <c r="R310" s="1" t="s">
        <v>55</v>
      </c>
      <c r="S310" s="1" t="s">
        <v>168</v>
      </c>
      <c r="T310" s="1" t="s">
        <v>304</v>
      </c>
      <c r="U310" s="1" t="s">
        <v>305</v>
      </c>
    </row>
    <row r="311" spans="1:21" ht="39" x14ac:dyDescent="0.25">
      <c r="A311" s="3" t="s">
        <v>50</v>
      </c>
      <c r="B311" s="2" t="s">
        <v>51</v>
      </c>
      <c r="C311" s="13" t="s">
        <v>1434</v>
      </c>
      <c r="D311" s="14" t="s">
        <v>1367</v>
      </c>
      <c r="E311" s="13" t="s">
        <v>1386</v>
      </c>
      <c r="F311" s="13" t="s">
        <v>1434</v>
      </c>
      <c r="G311" s="13"/>
      <c r="H311" s="13"/>
      <c r="I311" s="13"/>
      <c r="J311" s="13" t="s">
        <v>1475</v>
      </c>
      <c r="K311" s="6" t="str">
        <f>HYPERLINK("http://explorer.natureserve.org/servlet/NatureServe?searchSpeciesUid=ELEMENT_GLOBAL.2.112396")</f>
        <v>http://explorer.natureserve.org/servlet/NatureServe?searchSpeciesUid=ELEMENT_GLOBAL.2.112396</v>
      </c>
      <c r="L311" s="25" t="s">
        <v>52</v>
      </c>
      <c r="M311" s="1" t="s">
        <v>922</v>
      </c>
      <c r="N311" s="1" t="s">
        <v>12</v>
      </c>
      <c r="O311" s="1" t="s">
        <v>32</v>
      </c>
      <c r="P311" s="26"/>
      <c r="Q311" s="1" t="s">
        <v>7</v>
      </c>
      <c r="R311" s="1" t="s">
        <v>8</v>
      </c>
      <c r="S311" s="1" t="s">
        <v>9</v>
      </c>
      <c r="T311" s="1" t="s">
        <v>48</v>
      </c>
      <c r="U311" s="1" t="s">
        <v>49</v>
      </c>
    </row>
    <row r="312" spans="1:21" ht="26.25" x14ac:dyDescent="0.25">
      <c r="A312" s="3" t="s">
        <v>494</v>
      </c>
      <c r="B312" s="2" t="s">
        <v>495</v>
      </c>
      <c r="C312" s="13"/>
      <c r="D312" s="14"/>
      <c r="E312" s="13" t="s">
        <v>1386</v>
      </c>
      <c r="F312" s="13"/>
      <c r="G312" s="13"/>
      <c r="H312" s="13" t="s">
        <v>935</v>
      </c>
      <c r="I312" s="13"/>
      <c r="J312" s="13" t="s">
        <v>1471</v>
      </c>
      <c r="K312" s="6" t="s">
        <v>1204</v>
      </c>
      <c r="L312" s="25" t="s">
        <v>116</v>
      </c>
      <c r="M312" s="1" t="s">
        <v>914</v>
      </c>
      <c r="N312" s="1" t="s">
        <v>189</v>
      </c>
      <c r="O312" s="1" t="s">
        <v>32</v>
      </c>
      <c r="P312" s="26"/>
      <c r="Q312" s="1" t="s">
        <v>105</v>
      </c>
      <c r="R312" s="1" t="s">
        <v>185</v>
      </c>
      <c r="S312" s="1" t="s">
        <v>200</v>
      </c>
      <c r="T312" s="1" t="s">
        <v>492</v>
      </c>
      <c r="U312" s="1" t="s">
        <v>493</v>
      </c>
    </row>
    <row r="313" spans="1:21" ht="26.25" x14ac:dyDescent="0.25">
      <c r="A313" s="3" t="s">
        <v>850</v>
      </c>
      <c r="B313" s="2" t="s">
        <v>851</v>
      </c>
      <c r="C313" s="13" t="s">
        <v>1395</v>
      </c>
      <c r="D313" s="14"/>
      <c r="E313" s="13" t="s">
        <v>1393</v>
      </c>
      <c r="F313" s="13" t="s">
        <v>1395</v>
      </c>
      <c r="G313" s="13" t="s">
        <v>1395</v>
      </c>
      <c r="H313" s="13"/>
      <c r="I313" s="13"/>
      <c r="J313" s="13" t="s">
        <v>1477</v>
      </c>
      <c r="K313" s="6" t="s">
        <v>1205</v>
      </c>
      <c r="L313" s="25" t="s">
        <v>116</v>
      </c>
      <c r="M313" s="1" t="s">
        <v>914</v>
      </c>
      <c r="N313" s="1" t="s">
        <v>189</v>
      </c>
      <c r="O313" s="1" t="s">
        <v>32</v>
      </c>
      <c r="P313" s="26"/>
      <c r="Q313" s="1" t="s">
        <v>105</v>
      </c>
      <c r="R313" s="1" t="s">
        <v>185</v>
      </c>
      <c r="S313" s="1" t="s">
        <v>200</v>
      </c>
      <c r="T313" s="1" t="s">
        <v>848</v>
      </c>
      <c r="U313" s="1" t="s">
        <v>849</v>
      </c>
    </row>
    <row r="314" spans="1:21" ht="51.75" x14ac:dyDescent="0.25">
      <c r="A314" s="3" t="s">
        <v>143</v>
      </c>
      <c r="B314" s="2" t="s">
        <v>144</v>
      </c>
      <c r="C314" s="13" t="s">
        <v>1397</v>
      </c>
      <c r="D314" s="14" t="s">
        <v>1435</v>
      </c>
      <c r="E314" s="13" t="s">
        <v>1393</v>
      </c>
      <c r="F314" s="14" t="s">
        <v>1435</v>
      </c>
      <c r="G314" s="14" t="s">
        <v>1435</v>
      </c>
      <c r="H314" s="14" t="s">
        <v>1435</v>
      </c>
      <c r="I314" s="14" t="s">
        <v>1435</v>
      </c>
      <c r="J314" s="13" t="s">
        <v>1476</v>
      </c>
      <c r="K314" s="6" t="str">
        <f>HYPERLINK("http://explorer.natureserve.org/servlet/NatureServe?searchSpeciesUid=ELEMENT_GLOBAL.2.109139")</f>
        <v>http://explorer.natureserve.org/servlet/NatureServe?searchSpeciesUid=ELEMENT_GLOBAL.2.109139</v>
      </c>
      <c r="L314" s="25" t="s">
        <v>145</v>
      </c>
      <c r="M314" s="1" t="s">
        <v>922</v>
      </c>
      <c r="N314" s="1" t="s">
        <v>12</v>
      </c>
      <c r="O314" s="1" t="s">
        <v>32</v>
      </c>
      <c r="P314" s="26"/>
      <c r="Q314" s="1" t="s">
        <v>7</v>
      </c>
      <c r="R314" s="1" t="s">
        <v>8</v>
      </c>
      <c r="S314" s="1" t="s">
        <v>9</v>
      </c>
      <c r="T314" s="1" t="s">
        <v>141</v>
      </c>
      <c r="U314" s="1" t="s">
        <v>142</v>
      </c>
    </row>
    <row r="315" spans="1:21" ht="26.25" x14ac:dyDescent="0.25">
      <c r="A315" s="3" t="s">
        <v>892</v>
      </c>
      <c r="B315" s="2" t="s">
        <v>893</v>
      </c>
      <c r="C315" s="13" t="s">
        <v>1395</v>
      </c>
      <c r="D315" s="13" t="s">
        <v>1395</v>
      </c>
      <c r="E315" s="13" t="s">
        <v>1393</v>
      </c>
      <c r="F315" s="13" t="s">
        <v>1395</v>
      </c>
      <c r="G315" s="13" t="s">
        <v>1395</v>
      </c>
      <c r="H315" s="13" t="s">
        <v>1395</v>
      </c>
      <c r="I315" s="13" t="s">
        <v>1395</v>
      </c>
      <c r="J315" s="13" t="s">
        <v>1477</v>
      </c>
      <c r="K315" s="6" t="str">
        <f>HYPERLINK("http://explorer.natureserve.org/servlet/NatureServe?searchSpeciesUid=ELEMENT_GLOBAL.2.138617")</f>
        <v>http://explorer.natureserve.org/servlet/NatureServe?searchSpeciesUid=ELEMENT_GLOBAL.2.138617</v>
      </c>
      <c r="L315" s="25" t="s">
        <v>62</v>
      </c>
      <c r="M315" s="1" t="s">
        <v>914</v>
      </c>
      <c r="N315" s="1" t="s">
        <v>160</v>
      </c>
      <c r="O315" s="1" t="s">
        <v>32</v>
      </c>
      <c r="P315" s="26"/>
      <c r="Q315" s="1" t="s">
        <v>105</v>
      </c>
      <c r="R315" s="1" t="s">
        <v>185</v>
      </c>
      <c r="S315" s="1" t="s">
        <v>200</v>
      </c>
      <c r="T315" s="1" t="s">
        <v>310</v>
      </c>
      <c r="U315" s="1" t="s">
        <v>311</v>
      </c>
    </row>
    <row r="316" spans="1:21" ht="26.25" x14ac:dyDescent="0.25">
      <c r="A316" s="3" t="s">
        <v>656</v>
      </c>
      <c r="B316" s="2" t="s">
        <v>657</v>
      </c>
      <c r="C316" s="13" t="s">
        <v>1405</v>
      </c>
      <c r="D316" s="13" t="s">
        <v>1405</v>
      </c>
      <c r="E316" s="13" t="s">
        <v>1372</v>
      </c>
      <c r="F316" s="13" t="s">
        <v>1405</v>
      </c>
      <c r="G316" s="13" t="s">
        <v>1405</v>
      </c>
      <c r="H316" s="13" t="s">
        <v>1405</v>
      </c>
      <c r="I316" s="13" t="s">
        <v>1405</v>
      </c>
      <c r="J316" s="13" t="s">
        <v>1474</v>
      </c>
      <c r="K316" s="6" t="str">
        <f>HYPERLINK("http://explorer.natureserve.org/servlet/NatureServe?searchSpeciesUid=ELEMENT_GLOBAL.2.159415")</f>
        <v>http://explorer.natureserve.org/servlet/NatureServe?searchSpeciesUid=ELEMENT_GLOBAL.2.159415</v>
      </c>
      <c r="L316" s="25" t="s">
        <v>62</v>
      </c>
      <c r="M316" s="1" t="s">
        <v>914</v>
      </c>
      <c r="N316" s="1" t="s">
        <v>160</v>
      </c>
      <c r="O316" s="1" t="s">
        <v>32</v>
      </c>
      <c r="P316" s="26"/>
      <c r="Q316" s="1" t="s">
        <v>105</v>
      </c>
      <c r="R316" s="1" t="s">
        <v>185</v>
      </c>
      <c r="S316" s="1" t="s">
        <v>200</v>
      </c>
      <c r="T316" s="1" t="s">
        <v>310</v>
      </c>
      <c r="U316" s="1" t="s">
        <v>311</v>
      </c>
    </row>
    <row r="317" spans="1:21" ht="26.25" x14ac:dyDescent="0.25">
      <c r="A317" s="3" t="s">
        <v>312</v>
      </c>
      <c r="B317" s="2" t="s">
        <v>313</v>
      </c>
      <c r="C317" s="13" t="s">
        <v>1395</v>
      </c>
      <c r="D317" s="13" t="s">
        <v>1395</v>
      </c>
      <c r="E317" s="13" t="s">
        <v>1393</v>
      </c>
      <c r="F317" s="13" t="s">
        <v>1395</v>
      </c>
      <c r="G317" s="13" t="s">
        <v>1395</v>
      </c>
      <c r="H317" s="13" t="s">
        <v>1395</v>
      </c>
      <c r="I317" s="13" t="s">
        <v>1395</v>
      </c>
      <c r="J317" s="13" t="s">
        <v>1477</v>
      </c>
      <c r="K317" s="6" t="str">
        <f>HYPERLINK("http://explorer.natureserve.org/servlet/NatureServe?searchSpeciesUid=ELEMENT_GLOBAL.2.147583")</f>
        <v>http://explorer.natureserve.org/servlet/NatureServe?searchSpeciesUid=ELEMENT_GLOBAL.2.147583</v>
      </c>
      <c r="L317" s="25" t="s">
        <v>62</v>
      </c>
      <c r="M317" s="1" t="s">
        <v>914</v>
      </c>
      <c r="N317" s="1" t="s">
        <v>160</v>
      </c>
      <c r="O317" s="1" t="s">
        <v>32</v>
      </c>
      <c r="P317" s="26"/>
      <c r="Q317" s="1" t="s">
        <v>105</v>
      </c>
      <c r="R317" s="1" t="s">
        <v>185</v>
      </c>
      <c r="S317" s="1" t="s">
        <v>200</v>
      </c>
      <c r="T317" s="1" t="s">
        <v>310</v>
      </c>
      <c r="U317" s="1" t="s">
        <v>311</v>
      </c>
    </row>
    <row r="318" spans="1:21" ht="26.25" x14ac:dyDescent="0.25">
      <c r="A318" s="3" t="s">
        <v>703</v>
      </c>
      <c r="B318" s="2" t="s">
        <v>704</v>
      </c>
      <c r="C318" s="13" t="s">
        <v>1395</v>
      </c>
      <c r="D318" s="13" t="s">
        <v>1395</v>
      </c>
      <c r="E318" s="13" t="s">
        <v>1393</v>
      </c>
      <c r="F318" s="13" t="s">
        <v>1395</v>
      </c>
      <c r="G318" s="13" t="s">
        <v>1395</v>
      </c>
      <c r="H318" s="13" t="s">
        <v>1395</v>
      </c>
      <c r="I318" s="13" t="s">
        <v>1395</v>
      </c>
      <c r="J318" s="13" t="s">
        <v>1477</v>
      </c>
      <c r="K318" s="6" t="str">
        <f>HYPERLINK("http://explorer.natureserve.org/servlet/NatureServe?searchSpeciesUid=ELEMENT_GLOBAL.2.155953")</f>
        <v>http://explorer.natureserve.org/servlet/NatureServe?searchSpeciesUid=ELEMENT_GLOBAL.2.155953</v>
      </c>
      <c r="L318" s="25" t="s">
        <v>62</v>
      </c>
      <c r="M318" s="1" t="s">
        <v>914</v>
      </c>
      <c r="N318" s="1" t="s">
        <v>160</v>
      </c>
      <c r="O318" s="1" t="s">
        <v>32</v>
      </c>
      <c r="P318" s="26"/>
      <c r="Q318" s="1" t="s">
        <v>105</v>
      </c>
      <c r="R318" s="1" t="s">
        <v>185</v>
      </c>
      <c r="S318" s="1" t="s">
        <v>200</v>
      </c>
      <c r="T318" s="1" t="s">
        <v>310</v>
      </c>
      <c r="U318" s="1" t="s">
        <v>311</v>
      </c>
    </row>
    <row r="319" spans="1:21" ht="26.25" x14ac:dyDescent="0.25">
      <c r="A319" s="3" t="s">
        <v>322</v>
      </c>
      <c r="B319" s="2" t="s">
        <v>323</v>
      </c>
      <c r="C319" s="13"/>
      <c r="D319" s="14" t="s">
        <v>1367</v>
      </c>
      <c r="E319" s="13"/>
      <c r="F319" s="13"/>
      <c r="G319" s="13"/>
      <c r="H319" s="13"/>
      <c r="I319" s="13"/>
      <c r="J319" s="13" t="s">
        <v>1474</v>
      </c>
      <c r="K319" s="6" t="str">
        <f>HYPERLINK("http://explorer.natureserve.org/servlet/NatureServe?searchSpeciesUid=ELEMENT_GLOBAL.2.103230")</f>
        <v>http://explorer.natureserve.org/servlet/NatureServe?searchSpeciesUid=ELEMENT_GLOBAL.2.103230</v>
      </c>
      <c r="L319" s="25" t="s">
        <v>62</v>
      </c>
      <c r="M319" s="1" t="s">
        <v>915</v>
      </c>
      <c r="N319" s="1" t="s">
        <v>59</v>
      </c>
      <c r="O319" s="1" t="s">
        <v>32</v>
      </c>
      <c r="P319" s="26"/>
      <c r="Q319" s="1" t="s">
        <v>7</v>
      </c>
      <c r="R319" s="1" t="s">
        <v>55</v>
      </c>
      <c r="S319" s="1" t="s">
        <v>56</v>
      </c>
      <c r="T319" s="1" t="s">
        <v>211</v>
      </c>
      <c r="U319" s="1" t="s">
        <v>212</v>
      </c>
    </row>
    <row r="320" spans="1:21" ht="26.25" x14ac:dyDescent="0.25">
      <c r="A320" s="3" t="s">
        <v>582</v>
      </c>
      <c r="B320" s="2" t="s">
        <v>583</v>
      </c>
      <c r="C320" s="13"/>
      <c r="D320" s="14" t="s">
        <v>1367</v>
      </c>
      <c r="E320" s="13"/>
      <c r="F320" s="13"/>
      <c r="G320" s="13"/>
      <c r="H320" s="13"/>
      <c r="I320" s="13"/>
      <c r="J320" s="13" t="s">
        <v>1474</v>
      </c>
      <c r="K320" s="6" t="str">
        <f>HYPERLINK("http://explorer.natureserve.org/servlet/NatureServe?searchSpeciesUid=ELEMENT_GLOBAL.2.100329")</f>
        <v>http://explorer.natureserve.org/servlet/NatureServe?searchSpeciesUid=ELEMENT_GLOBAL.2.100329</v>
      </c>
      <c r="L320" s="25" t="s">
        <v>62</v>
      </c>
      <c r="M320" s="1" t="s">
        <v>915</v>
      </c>
      <c r="N320" s="1" t="s">
        <v>171</v>
      </c>
      <c r="O320" s="1" t="s">
        <v>32</v>
      </c>
      <c r="P320" s="26"/>
      <c r="Q320" s="1" t="s">
        <v>7</v>
      </c>
      <c r="R320" s="1" t="s">
        <v>55</v>
      </c>
      <c r="S320" s="1" t="s">
        <v>168</v>
      </c>
      <c r="T320" s="1" t="s">
        <v>169</v>
      </c>
      <c r="U320" s="1" t="s">
        <v>581</v>
      </c>
    </row>
    <row r="321" spans="1:21" ht="26.25" x14ac:dyDescent="0.25">
      <c r="A321" s="3" t="s">
        <v>1206</v>
      </c>
      <c r="B321" s="2" t="s">
        <v>774</v>
      </c>
      <c r="C321" s="13"/>
      <c r="D321" s="14" t="s">
        <v>1367</v>
      </c>
      <c r="E321" s="13"/>
      <c r="F321" s="13"/>
      <c r="G321" s="13"/>
      <c r="H321" s="13"/>
      <c r="I321" s="13"/>
      <c r="J321" s="13" t="s">
        <v>1474</v>
      </c>
      <c r="K321" s="6" t="str">
        <f>HYPERLINK("http://explorer.natureserve.org/servlet/NatureServe?searchSpeciesUid=ELEMENT_GLOBAL.2.104396")</f>
        <v>http://explorer.natureserve.org/servlet/NatureServe?searchSpeciesUid=ELEMENT_GLOBAL.2.104396</v>
      </c>
      <c r="L321" s="25" t="s">
        <v>62</v>
      </c>
      <c r="M321" s="1" t="s">
        <v>915</v>
      </c>
      <c r="N321" s="1" t="s">
        <v>171</v>
      </c>
      <c r="O321" s="1" t="s">
        <v>32</v>
      </c>
      <c r="P321" s="26"/>
      <c r="Q321" s="1" t="s">
        <v>7</v>
      </c>
      <c r="R321" s="1" t="s">
        <v>55</v>
      </c>
      <c r="S321" s="1" t="s">
        <v>168</v>
      </c>
      <c r="T321" s="1" t="s">
        <v>169</v>
      </c>
      <c r="U321" s="1" t="s">
        <v>581</v>
      </c>
    </row>
    <row r="322" spans="1:21" ht="26.25" x14ac:dyDescent="0.25">
      <c r="A322" s="3" t="s">
        <v>686</v>
      </c>
      <c r="B322" s="2" t="s">
        <v>687</v>
      </c>
      <c r="C322" s="13"/>
      <c r="D322" s="14" t="s">
        <v>1388</v>
      </c>
      <c r="E322" s="13"/>
      <c r="F322" s="13"/>
      <c r="G322" s="13"/>
      <c r="H322" s="13"/>
      <c r="I322" s="13"/>
      <c r="J322" s="13" t="s">
        <v>1477</v>
      </c>
      <c r="K322" s="6" t="str">
        <f>HYPERLINK("http://explorer.natureserve.org/servlet/NatureServe?searchSpeciesUid=ELEMENT_GLOBAL.2.102448")</f>
        <v>http://explorer.natureserve.org/servlet/NatureServe?searchSpeciesUid=ELEMENT_GLOBAL.2.102448</v>
      </c>
      <c r="L322" s="25" t="s">
        <v>62</v>
      </c>
      <c r="M322" s="1" t="s">
        <v>915</v>
      </c>
      <c r="N322" s="1" t="s">
        <v>171</v>
      </c>
      <c r="O322" s="1" t="s">
        <v>32</v>
      </c>
      <c r="P322" s="26"/>
      <c r="Q322" s="1" t="s">
        <v>7</v>
      </c>
      <c r="R322" s="1" t="s">
        <v>55</v>
      </c>
      <c r="S322" s="1" t="s">
        <v>326</v>
      </c>
      <c r="T322" s="1" t="s">
        <v>327</v>
      </c>
      <c r="U322" s="1" t="s">
        <v>387</v>
      </c>
    </row>
    <row r="323" spans="1:21" ht="26.25" x14ac:dyDescent="0.25">
      <c r="A323" s="7" t="s">
        <v>1208</v>
      </c>
      <c r="B323" s="8" t="s">
        <v>1209</v>
      </c>
      <c r="C323" s="13"/>
      <c r="D323" s="14"/>
      <c r="E323" s="13" t="s">
        <v>1396</v>
      </c>
      <c r="F323" s="13" t="s">
        <v>1396</v>
      </c>
      <c r="G323" s="13" t="s">
        <v>151</v>
      </c>
      <c r="H323" s="13"/>
      <c r="I323" s="13" t="s">
        <v>1396</v>
      </c>
      <c r="J323" s="13" t="s">
        <v>1477</v>
      </c>
      <c r="K323" s="6" t="s">
        <v>1207</v>
      </c>
      <c r="L323" s="25" t="s">
        <v>62</v>
      </c>
      <c r="M323" s="1" t="s">
        <v>915</v>
      </c>
      <c r="N323" t="s">
        <v>79</v>
      </c>
      <c r="O323" s="1" t="s">
        <v>32</v>
      </c>
      <c r="P323" s="26" t="s">
        <v>16</v>
      </c>
      <c r="Q323" s="1" t="s">
        <v>7</v>
      </c>
      <c r="R323" s="1" t="s">
        <v>55</v>
      </c>
      <c r="S323" s="1" t="s">
        <v>76</v>
      </c>
      <c r="T323" s="1" t="s">
        <v>77</v>
      </c>
      <c r="U323" s="1" t="s">
        <v>78</v>
      </c>
    </row>
    <row r="324" spans="1:21" ht="26.25" x14ac:dyDescent="0.25">
      <c r="A324" s="3" t="s">
        <v>714</v>
      </c>
      <c r="B324" s="2" t="s">
        <v>715</v>
      </c>
      <c r="C324" s="13" t="s">
        <v>1376</v>
      </c>
      <c r="D324" s="14" t="s">
        <v>1385</v>
      </c>
      <c r="E324" s="13"/>
      <c r="F324" s="13"/>
      <c r="G324" s="14" t="s">
        <v>1385</v>
      </c>
      <c r="H324" s="13"/>
      <c r="I324" s="13"/>
      <c r="J324" s="13" t="s">
        <v>1471</v>
      </c>
      <c r="K324" s="6" t="str">
        <f>HYPERLINK("http://explorer.natureserve.org/servlet/NatureServe?searchSpeciesUid=ELEMENT_GLOBAL.2.128779")</f>
        <v>http://explorer.natureserve.org/servlet/NatureServe?searchSpeciesUid=ELEMENT_GLOBAL.2.128779</v>
      </c>
      <c r="L324" s="25" t="s">
        <v>62</v>
      </c>
      <c r="M324" s="1" t="s">
        <v>914</v>
      </c>
      <c r="N324" s="1" t="s">
        <v>252</v>
      </c>
      <c r="O324" s="1" t="s">
        <v>32</v>
      </c>
      <c r="P324" s="26"/>
      <c r="Q324" s="1" t="s">
        <v>105</v>
      </c>
      <c r="R324" s="1" t="s">
        <v>185</v>
      </c>
      <c r="S324" s="1" t="s">
        <v>200</v>
      </c>
      <c r="T324" s="1" t="s">
        <v>250</v>
      </c>
      <c r="U324" s="1" t="s">
        <v>251</v>
      </c>
    </row>
    <row r="325" spans="1:21" ht="26.25" x14ac:dyDescent="0.25">
      <c r="A325" s="3" t="s">
        <v>1210</v>
      </c>
      <c r="B325" s="2" t="s">
        <v>527</v>
      </c>
      <c r="C325" s="13" t="s">
        <v>1376</v>
      </c>
      <c r="D325" s="14" t="s">
        <v>1385</v>
      </c>
      <c r="E325" s="13"/>
      <c r="F325" s="13"/>
      <c r="G325" s="14" t="s">
        <v>1385</v>
      </c>
      <c r="H325" s="13"/>
      <c r="I325" s="13"/>
      <c r="J325" s="13" t="s">
        <v>1471</v>
      </c>
      <c r="K325" s="6" t="str">
        <f>HYPERLINK("http://explorer.natureserve.org/servlet/NatureServe?searchSpeciesUid=ELEMENT_GLOBAL.2.137473")</f>
        <v>http://explorer.natureserve.org/servlet/NatureServe?searchSpeciesUid=ELEMENT_GLOBAL.2.137473</v>
      </c>
      <c r="L325" s="25" t="s">
        <v>62</v>
      </c>
      <c r="M325" s="1" t="s">
        <v>914</v>
      </c>
      <c r="N325" s="1" t="s">
        <v>252</v>
      </c>
      <c r="O325" s="1" t="s">
        <v>32</v>
      </c>
      <c r="P325" s="26"/>
      <c r="Q325" s="1" t="s">
        <v>105</v>
      </c>
      <c r="R325" s="1" t="s">
        <v>185</v>
      </c>
      <c r="S325" s="1" t="s">
        <v>200</v>
      </c>
      <c r="T325" s="1" t="s">
        <v>250</v>
      </c>
      <c r="U325" s="1" t="s">
        <v>251</v>
      </c>
    </row>
    <row r="326" spans="1:21" ht="26.25" x14ac:dyDescent="0.25">
      <c r="A326" s="3" t="s">
        <v>888</v>
      </c>
      <c r="B326" s="2" t="s">
        <v>889</v>
      </c>
      <c r="C326" s="13" t="s">
        <v>1397</v>
      </c>
      <c r="D326" s="14" t="s">
        <v>1407</v>
      </c>
      <c r="E326" s="14" t="s">
        <v>1407</v>
      </c>
      <c r="F326" s="13"/>
      <c r="G326" s="14" t="s">
        <v>1407</v>
      </c>
      <c r="H326" s="13"/>
      <c r="I326" s="13"/>
      <c r="J326" s="13" t="s">
        <v>1474</v>
      </c>
      <c r="K326" s="6" t="str">
        <f>HYPERLINK("http://explorer.natureserve.org/servlet/NatureServe?searchSpeciesUid=ELEMENT_GLOBAL.2.160148")</f>
        <v>http://explorer.natureserve.org/servlet/NatureServe?searchSpeciesUid=ELEMENT_GLOBAL.2.160148</v>
      </c>
      <c r="L326" s="25" t="s">
        <v>62</v>
      </c>
      <c r="M326" s="1" t="s">
        <v>914</v>
      </c>
      <c r="N326" s="1" t="s">
        <v>257</v>
      </c>
      <c r="O326" s="1" t="s">
        <v>32</v>
      </c>
      <c r="P326" s="26"/>
      <c r="Q326" s="1" t="s">
        <v>105</v>
      </c>
      <c r="R326" s="1" t="s">
        <v>185</v>
      </c>
      <c r="S326" s="1" t="s">
        <v>186</v>
      </c>
      <c r="T326" s="1" t="s">
        <v>255</v>
      </c>
      <c r="U326" s="1" t="s">
        <v>256</v>
      </c>
    </row>
    <row r="327" spans="1:21" ht="26.25" x14ac:dyDescent="0.25">
      <c r="A327" s="3" t="s">
        <v>1212</v>
      </c>
      <c r="B327" s="2" t="s">
        <v>1213</v>
      </c>
      <c r="C327" s="13"/>
      <c r="D327" s="14"/>
      <c r="E327" s="13"/>
      <c r="F327" s="13"/>
      <c r="G327" s="13" t="s">
        <v>1391</v>
      </c>
      <c r="H327" s="13"/>
      <c r="I327" s="13"/>
      <c r="J327" s="13" t="s">
        <v>1474</v>
      </c>
      <c r="K327" s="6" t="s">
        <v>1211</v>
      </c>
      <c r="L327" s="25" t="s">
        <v>89</v>
      </c>
      <c r="M327" s="1" t="s">
        <v>914</v>
      </c>
      <c r="N327" s="1" t="s">
        <v>257</v>
      </c>
      <c r="O327" s="1" t="s">
        <v>32</v>
      </c>
      <c r="P327" s="26"/>
      <c r="Q327" s="1" t="s">
        <v>105</v>
      </c>
      <c r="R327" s="1" t="s">
        <v>185</v>
      </c>
      <c r="S327" s="1" t="s">
        <v>186</v>
      </c>
      <c r="T327" s="1" t="s">
        <v>255</v>
      </c>
      <c r="U327" s="1" t="s">
        <v>256</v>
      </c>
    </row>
    <row r="328" spans="1:21" ht="26.25" x14ac:dyDescent="0.25">
      <c r="A328" s="3" t="s">
        <v>846</v>
      </c>
      <c r="B328" s="2" t="s">
        <v>847</v>
      </c>
      <c r="C328" s="13" t="s">
        <v>1403</v>
      </c>
      <c r="D328" s="14" t="s">
        <v>151</v>
      </c>
      <c r="E328" s="14" t="s">
        <v>1420</v>
      </c>
      <c r="F328" s="14" t="s">
        <v>1420</v>
      </c>
      <c r="G328" s="14" t="s">
        <v>1420</v>
      </c>
      <c r="H328" s="13"/>
      <c r="I328" s="14" t="s">
        <v>1420</v>
      </c>
      <c r="J328" s="13" t="s">
        <v>1477</v>
      </c>
      <c r="K328" s="6" t="s">
        <v>1214</v>
      </c>
      <c r="L328" s="25" t="s">
        <v>62</v>
      </c>
      <c r="M328" s="1" t="s">
        <v>914</v>
      </c>
      <c r="N328" s="1" t="s">
        <v>189</v>
      </c>
      <c r="O328" s="1" t="s">
        <v>32</v>
      </c>
      <c r="P328" s="26"/>
      <c r="Q328" s="1" t="s">
        <v>105</v>
      </c>
      <c r="R328" s="1" t="s">
        <v>185</v>
      </c>
      <c r="S328" s="1" t="s">
        <v>200</v>
      </c>
      <c r="T328" s="1" t="s">
        <v>504</v>
      </c>
      <c r="U328" s="1" t="s">
        <v>845</v>
      </c>
    </row>
    <row r="329" spans="1:21" ht="26.25" x14ac:dyDescent="0.25">
      <c r="A329" s="3" t="s">
        <v>1216</v>
      </c>
      <c r="B329" s="2" t="s">
        <v>1217</v>
      </c>
      <c r="C329" s="13"/>
      <c r="D329" s="14"/>
      <c r="E329" s="13"/>
      <c r="F329" s="13"/>
      <c r="G329" s="13" t="s">
        <v>1391</v>
      </c>
      <c r="H329" s="13"/>
      <c r="I329" s="13"/>
      <c r="J329" s="13" t="s">
        <v>1474</v>
      </c>
      <c r="K329" s="6" t="s">
        <v>1215</v>
      </c>
      <c r="L329" s="25" t="s">
        <v>1218</v>
      </c>
      <c r="M329" s="1" t="s">
        <v>914</v>
      </c>
      <c r="N329" s="1" t="s">
        <v>189</v>
      </c>
      <c r="O329" s="1" t="s">
        <v>32</v>
      </c>
      <c r="P329" s="26"/>
      <c r="Q329" s="1" t="s">
        <v>105</v>
      </c>
      <c r="R329" s="1" t="s">
        <v>185</v>
      </c>
      <c r="S329" s="1" t="s">
        <v>200</v>
      </c>
      <c r="T329" s="1" t="s">
        <v>246</v>
      </c>
      <c r="U329" s="1" t="s">
        <v>247</v>
      </c>
    </row>
    <row r="330" spans="1:21" ht="26.25" x14ac:dyDescent="0.25">
      <c r="A330" s="3" t="s">
        <v>1220</v>
      </c>
      <c r="B330" s="2" t="s">
        <v>1221</v>
      </c>
      <c r="C330" s="13"/>
      <c r="D330" s="14"/>
      <c r="E330" s="13"/>
      <c r="F330" s="13"/>
      <c r="G330" s="13" t="s">
        <v>1391</v>
      </c>
      <c r="H330" s="13"/>
      <c r="I330" s="13"/>
      <c r="J330" s="13" t="s">
        <v>1474</v>
      </c>
      <c r="K330" s="6" t="s">
        <v>1219</v>
      </c>
      <c r="L330" s="25" t="s">
        <v>62</v>
      </c>
      <c r="M330" s="1" t="s">
        <v>914</v>
      </c>
      <c r="N330" s="1" t="s">
        <v>189</v>
      </c>
      <c r="O330" s="1" t="s">
        <v>32</v>
      </c>
      <c r="P330" s="26"/>
      <c r="Q330" s="1" t="s">
        <v>105</v>
      </c>
      <c r="R330" s="1" t="s">
        <v>185</v>
      </c>
      <c r="S330" s="1" t="s">
        <v>186</v>
      </c>
      <c r="T330" s="1" t="s">
        <v>370</v>
      </c>
      <c r="U330" s="1" t="s">
        <v>371</v>
      </c>
    </row>
    <row r="331" spans="1:21" ht="26.25" x14ac:dyDescent="0.25">
      <c r="A331" s="3" t="s">
        <v>1223</v>
      </c>
      <c r="B331" s="2" t="s">
        <v>1224</v>
      </c>
      <c r="C331" s="13"/>
      <c r="D331" s="14"/>
      <c r="E331" s="13"/>
      <c r="F331" s="13"/>
      <c r="G331" s="13" t="s">
        <v>1391</v>
      </c>
      <c r="H331" s="13"/>
      <c r="I331" s="13"/>
      <c r="J331" s="13" t="s">
        <v>1474</v>
      </c>
      <c r="K331" s="6" t="s">
        <v>1222</v>
      </c>
      <c r="L331" s="25" t="s">
        <v>400</v>
      </c>
      <c r="M331" s="1" t="s">
        <v>914</v>
      </c>
      <c r="N331" s="1" t="s">
        <v>252</v>
      </c>
      <c r="O331" s="1" t="s">
        <v>32</v>
      </c>
      <c r="P331" s="26"/>
      <c r="Q331" s="1" t="s">
        <v>105</v>
      </c>
      <c r="R331" s="1" t="s">
        <v>185</v>
      </c>
      <c r="S331" s="1" t="s">
        <v>200</v>
      </c>
      <c r="T331" s="1" t="s">
        <v>570</v>
      </c>
      <c r="U331" s="1" t="s">
        <v>571</v>
      </c>
    </row>
    <row r="332" spans="1:21" ht="26.25" x14ac:dyDescent="0.25">
      <c r="A332" s="4" t="s">
        <v>1226</v>
      </c>
      <c r="B332" s="2" t="s">
        <v>1227</v>
      </c>
      <c r="C332" s="13"/>
      <c r="D332" s="14"/>
      <c r="E332" s="13"/>
      <c r="F332" s="13"/>
      <c r="G332" s="13" t="s">
        <v>1380</v>
      </c>
      <c r="H332" s="13"/>
      <c r="I332" s="13"/>
      <c r="J332" s="13" t="s">
        <v>1477</v>
      </c>
      <c r="K332" s="6" t="s">
        <v>1225</v>
      </c>
      <c r="L332" s="25" t="s">
        <v>62</v>
      </c>
      <c r="M332" s="1" t="s">
        <v>914</v>
      </c>
      <c r="N332" s="1" t="s">
        <v>252</v>
      </c>
      <c r="O332" s="1" t="s">
        <v>32</v>
      </c>
      <c r="P332" s="26"/>
      <c r="Q332" s="1" t="s">
        <v>105</v>
      </c>
      <c r="R332" s="1" t="s">
        <v>185</v>
      </c>
      <c r="S332" s="1" t="s">
        <v>200</v>
      </c>
      <c r="T332" s="1" t="s">
        <v>570</v>
      </c>
      <c r="U332" s="1" t="s">
        <v>571</v>
      </c>
    </row>
    <row r="333" spans="1:21" ht="26.25" x14ac:dyDescent="0.25">
      <c r="A333" s="3" t="s">
        <v>572</v>
      </c>
      <c r="B333" s="2" t="s">
        <v>573</v>
      </c>
      <c r="C333" s="13" t="s">
        <v>1403</v>
      </c>
      <c r="D333" s="14" t="s">
        <v>1420</v>
      </c>
      <c r="E333" s="13"/>
      <c r="F333" s="13"/>
      <c r="G333" s="14" t="s">
        <v>1420</v>
      </c>
      <c r="H333" s="13"/>
      <c r="I333" s="14" t="s">
        <v>1420</v>
      </c>
      <c r="J333" s="13" t="s">
        <v>1477</v>
      </c>
      <c r="K333" s="6" t="str">
        <f>HYPERLINK("http://explorer.natureserve.org/servlet/NatureServe?searchSpeciesUid=ELEMENT_GLOBAL.2.140637")</f>
        <v>http://explorer.natureserve.org/servlet/NatureServe?searchSpeciesUid=ELEMENT_GLOBAL.2.140637</v>
      </c>
      <c r="L333" s="25" t="s">
        <v>62</v>
      </c>
      <c r="M333" s="1" t="s">
        <v>914</v>
      </c>
      <c r="N333" s="1" t="s">
        <v>252</v>
      </c>
      <c r="O333" s="1" t="s">
        <v>32</v>
      </c>
      <c r="P333" s="26"/>
      <c r="Q333" s="1" t="s">
        <v>105</v>
      </c>
      <c r="R333" s="1" t="s">
        <v>185</v>
      </c>
      <c r="S333" s="1" t="s">
        <v>200</v>
      </c>
      <c r="T333" s="1" t="s">
        <v>570</v>
      </c>
      <c r="U333" s="1" t="s">
        <v>571</v>
      </c>
    </row>
    <row r="334" spans="1:21" ht="26.25" x14ac:dyDescent="0.25">
      <c r="A334" s="3" t="s">
        <v>274</v>
      </c>
      <c r="B334" s="2" t="s">
        <v>275</v>
      </c>
      <c r="C334" s="13" t="s">
        <v>1436</v>
      </c>
      <c r="D334" s="14" t="s">
        <v>1384</v>
      </c>
      <c r="E334" s="13" t="s">
        <v>1386</v>
      </c>
      <c r="F334" s="13" t="s">
        <v>1436</v>
      </c>
      <c r="G334" s="13" t="s">
        <v>1436</v>
      </c>
      <c r="H334" s="13" t="s">
        <v>1436</v>
      </c>
      <c r="I334" s="13" t="s">
        <v>1436</v>
      </c>
      <c r="J334" s="13" t="s">
        <v>1471</v>
      </c>
      <c r="K334" s="6" t="str">
        <f>HYPERLINK("http://explorer.natureserve.org/servlet/NatureServe?searchSpeciesUid=ELEMENT_GLOBAL.2.103972")</f>
        <v>http://explorer.natureserve.org/servlet/NatureServe?searchSpeciesUid=ELEMENT_GLOBAL.2.103972</v>
      </c>
      <c r="L334" s="25" t="s">
        <v>62</v>
      </c>
      <c r="M334" s="1" t="s">
        <v>915</v>
      </c>
      <c r="N334" s="1" t="s">
        <v>86</v>
      </c>
      <c r="O334" s="1" t="s">
        <v>68</v>
      </c>
      <c r="P334" s="26"/>
      <c r="Q334" s="1" t="s">
        <v>7</v>
      </c>
      <c r="R334" s="1" t="s">
        <v>55</v>
      </c>
      <c r="S334" s="1" t="s">
        <v>83</v>
      </c>
      <c r="T334" s="1" t="s">
        <v>272</v>
      </c>
      <c r="U334" s="1" t="s">
        <v>273</v>
      </c>
    </row>
    <row r="335" spans="1:21" ht="39" x14ac:dyDescent="0.25">
      <c r="A335" s="3" t="s">
        <v>404</v>
      </c>
      <c r="B335" s="2" t="s">
        <v>405</v>
      </c>
      <c r="C335" s="13" t="s">
        <v>1365</v>
      </c>
      <c r="D335" s="14" t="s">
        <v>1384</v>
      </c>
      <c r="E335" s="13" t="s">
        <v>1386</v>
      </c>
      <c r="F335" s="13" t="s">
        <v>1437</v>
      </c>
      <c r="G335" s="13" t="s">
        <v>1437</v>
      </c>
      <c r="H335" s="13" t="s">
        <v>1437</v>
      </c>
      <c r="I335" s="13" t="s">
        <v>1437</v>
      </c>
      <c r="J335" s="13" t="s">
        <v>1472</v>
      </c>
      <c r="K335" s="6" t="str">
        <f>HYPERLINK("http://explorer.natureserve.org/servlet/NatureServe?searchSpeciesUid=ELEMENT_GLOBAL.2.100521")</f>
        <v>http://explorer.natureserve.org/servlet/NatureServe?searchSpeciesUid=ELEMENT_GLOBAL.2.100521</v>
      </c>
      <c r="L335" s="25" t="s">
        <v>62</v>
      </c>
      <c r="M335" s="1" t="s">
        <v>915</v>
      </c>
      <c r="N335" s="1" t="s">
        <v>171</v>
      </c>
      <c r="O335" s="1" t="s">
        <v>32</v>
      </c>
      <c r="P335" s="26"/>
      <c r="Q335" s="1" t="s">
        <v>7</v>
      </c>
      <c r="R335" s="1" t="s">
        <v>55</v>
      </c>
      <c r="S335" s="1" t="s">
        <v>168</v>
      </c>
      <c r="T335" s="1" t="s">
        <v>169</v>
      </c>
      <c r="U335" s="1" t="s">
        <v>403</v>
      </c>
    </row>
    <row r="336" spans="1:21" ht="26.25" x14ac:dyDescent="0.25">
      <c r="A336" s="3" t="s">
        <v>382</v>
      </c>
      <c r="B336" s="2" t="s">
        <v>383</v>
      </c>
      <c r="C336" s="13"/>
      <c r="D336" s="14" t="s">
        <v>1388</v>
      </c>
      <c r="E336" s="13"/>
      <c r="F336" s="13"/>
      <c r="G336" s="13"/>
      <c r="H336" s="13"/>
      <c r="I336" s="13"/>
      <c r="J336" s="13" t="s">
        <v>1477</v>
      </c>
      <c r="K336" s="6" t="str">
        <f>HYPERLINK("http://explorer.natureserve.org/servlet/NatureServe?searchSpeciesUid=ELEMENT_GLOBAL.2.893135")</f>
        <v>http://explorer.natureserve.org/servlet/NatureServe?searchSpeciesUid=ELEMENT_GLOBAL.2.893135</v>
      </c>
      <c r="L336" s="25" t="s">
        <v>62</v>
      </c>
      <c r="M336" s="1" t="s">
        <v>915</v>
      </c>
      <c r="N336" s="1" t="s">
        <v>171</v>
      </c>
      <c r="O336" s="1" t="s">
        <v>32</v>
      </c>
      <c r="P336" s="26"/>
      <c r="Q336" s="1" t="s">
        <v>7</v>
      </c>
      <c r="R336" s="1" t="s">
        <v>55</v>
      </c>
      <c r="S336" s="1" t="s">
        <v>326</v>
      </c>
      <c r="T336" s="1" t="s">
        <v>327</v>
      </c>
      <c r="U336" s="1" t="s">
        <v>381</v>
      </c>
    </row>
    <row r="337" spans="1:21" ht="26.25" x14ac:dyDescent="0.25">
      <c r="A337" s="3" t="s">
        <v>672</v>
      </c>
      <c r="B337" s="2" t="s">
        <v>673</v>
      </c>
      <c r="C337" s="13" t="s">
        <v>1365</v>
      </c>
      <c r="D337" s="14" t="s">
        <v>1392</v>
      </c>
      <c r="E337" s="14" t="s">
        <v>1392</v>
      </c>
      <c r="F337" s="14" t="s">
        <v>1392</v>
      </c>
      <c r="G337" s="14" t="s">
        <v>1392</v>
      </c>
      <c r="H337" s="13"/>
      <c r="I337" s="13"/>
      <c r="J337" s="29" t="s">
        <v>1470</v>
      </c>
      <c r="K337" s="6" t="str">
        <f>HYPERLINK("http://explorer.natureserve.org/servlet/NatureServe?searchSpeciesUid=ELEMENT_GLOBAL.2.157508")</f>
        <v>http://explorer.natureserve.org/servlet/NatureServe?searchSpeciesUid=ELEMENT_GLOBAL.2.157508</v>
      </c>
      <c r="L337" s="25" t="s">
        <v>62</v>
      </c>
      <c r="M337" s="1" t="s">
        <v>914</v>
      </c>
      <c r="N337" s="1" t="s">
        <v>257</v>
      </c>
      <c r="O337" s="1" t="s">
        <v>32</v>
      </c>
      <c r="P337" s="26"/>
      <c r="Q337" s="1" t="s">
        <v>105</v>
      </c>
      <c r="R337" s="1" t="s">
        <v>185</v>
      </c>
      <c r="S337" s="1" t="s">
        <v>186</v>
      </c>
      <c r="T337" s="1" t="s">
        <v>670</v>
      </c>
      <c r="U337" s="1" t="s">
        <v>671</v>
      </c>
    </row>
    <row r="338" spans="1:21" ht="26.25" x14ac:dyDescent="0.25">
      <c r="A338" s="3" t="s">
        <v>877</v>
      </c>
      <c r="B338" s="2" t="s">
        <v>1228</v>
      </c>
      <c r="C338" s="13" t="s">
        <v>1397</v>
      </c>
      <c r="D338" s="14" t="s">
        <v>1407</v>
      </c>
      <c r="E338" s="13"/>
      <c r="F338" s="13"/>
      <c r="G338" s="13"/>
      <c r="H338" s="13"/>
      <c r="I338" s="13"/>
      <c r="J338" s="13" t="s">
        <v>1474</v>
      </c>
      <c r="K338" s="6" t="str">
        <f>HYPERLINK("http://explorer.natureserve.org/servlet/NatureServe?searchSpeciesUid=ELEMENT_GLOBAL.2.160801")</f>
        <v>http://explorer.natureserve.org/servlet/NatureServe?searchSpeciesUid=ELEMENT_GLOBAL.2.160801</v>
      </c>
      <c r="L338" s="25" t="s">
        <v>245</v>
      </c>
      <c r="M338" s="1" t="s">
        <v>914</v>
      </c>
      <c r="N338" s="1" t="s">
        <v>257</v>
      </c>
      <c r="O338" s="1" t="s">
        <v>68</v>
      </c>
      <c r="P338" s="26"/>
      <c r="Q338" s="1" t="s">
        <v>105</v>
      </c>
      <c r="R338" s="1" t="s">
        <v>185</v>
      </c>
      <c r="S338" s="1" t="s">
        <v>186</v>
      </c>
      <c r="T338" s="1" t="s">
        <v>255</v>
      </c>
      <c r="U338" s="1" t="s">
        <v>256</v>
      </c>
    </row>
    <row r="339" spans="1:21" ht="26.25" x14ac:dyDescent="0.25">
      <c r="A339" s="3" t="s">
        <v>1230</v>
      </c>
      <c r="B339" s="2" t="s">
        <v>1231</v>
      </c>
      <c r="C339" s="13"/>
      <c r="D339" s="14"/>
      <c r="E339" s="13"/>
      <c r="F339" s="13"/>
      <c r="G339" s="13" t="s">
        <v>1406</v>
      </c>
      <c r="H339" s="13"/>
      <c r="I339" s="13"/>
      <c r="J339" s="13" t="s">
        <v>1471</v>
      </c>
      <c r="K339" s="6" t="s">
        <v>1229</v>
      </c>
      <c r="L339" s="25" t="s">
        <v>62</v>
      </c>
      <c r="M339" s="1" t="s">
        <v>914</v>
      </c>
      <c r="N339" s="1" t="s">
        <v>257</v>
      </c>
      <c r="O339" s="1" t="s">
        <v>32</v>
      </c>
      <c r="P339" s="26"/>
      <c r="Q339" s="1" t="s">
        <v>105</v>
      </c>
      <c r="R339" s="1" t="s">
        <v>185</v>
      </c>
      <c r="S339" s="1" t="s">
        <v>186</v>
      </c>
      <c r="T339" s="1" t="s">
        <v>255</v>
      </c>
      <c r="U339" s="1" t="s">
        <v>256</v>
      </c>
    </row>
    <row r="340" spans="1:21" ht="26.25" x14ac:dyDescent="0.25">
      <c r="A340" s="3" t="s">
        <v>616</v>
      </c>
      <c r="B340" s="2" t="s">
        <v>617</v>
      </c>
      <c r="C340" s="13"/>
      <c r="D340" s="14"/>
      <c r="E340" s="13" t="s">
        <v>1379</v>
      </c>
      <c r="F340" s="13"/>
      <c r="G340" s="13"/>
      <c r="H340" s="13" t="s">
        <v>1378</v>
      </c>
      <c r="I340" s="13"/>
      <c r="J340" s="29" t="s">
        <v>1470</v>
      </c>
      <c r="K340" s="6" t="s">
        <v>1232</v>
      </c>
      <c r="L340" s="25" t="s">
        <v>52</v>
      </c>
      <c r="M340" s="1" t="s">
        <v>914</v>
      </c>
      <c r="N340" s="1" t="s">
        <v>257</v>
      </c>
      <c r="O340" s="1" t="s">
        <v>32</v>
      </c>
      <c r="P340" s="26"/>
      <c r="Q340" s="1" t="s">
        <v>105</v>
      </c>
      <c r="R340" s="1" t="s">
        <v>185</v>
      </c>
      <c r="S340" s="1" t="s">
        <v>186</v>
      </c>
      <c r="T340" s="1" t="s">
        <v>255</v>
      </c>
      <c r="U340" s="1" t="s">
        <v>256</v>
      </c>
    </row>
    <row r="341" spans="1:21" ht="26.25" x14ac:dyDescent="0.25">
      <c r="A341" s="3" t="s">
        <v>103</v>
      </c>
      <c r="B341" s="2" t="s">
        <v>104</v>
      </c>
      <c r="C341" s="13" t="s">
        <v>1395</v>
      </c>
      <c r="D341" s="13" t="s">
        <v>1395</v>
      </c>
      <c r="E341" s="13" t="s">
        <v>1393</v>
      </c>
      <c r="F341" s="13" t="s">
        <v>1395</v>
      </c>
      <c r="G341" s="13"/>
      <c r="H341" s="13" t="s">
        <v>1395</v>
      </c>
      <c r="I341" s="13" t="s">
        <v>1395</v>
      </c>
      <c r="J341" s="13" t="s">
        <v>1477</v>
      </c>
      <c r="K341" s="6" t="str">
        <f>HYPERLINK("http://explorer.natureserve.org/servlet/NatureServe?searchSpeciesUid=ELEMENT_GLOBAL.2.105226")</f>
        <v>http://explorer.natureserve.org/servlet/NatureServe?searchSpeciesUid=ELEMENT_GLOBAL.2.105226</v>
      </c>
      <c r="L341" s="25" t="s">
        <v>62</v>
      </c>
      <c r="M341" s="1" t="s">
        <v>915</v>
      </c>
      <c r="N341" s="1" t="s">
        <v>59</v>
      </c>
      <c r="O341" s="1" t="s">
        <v>32</v>
      </c>
      <c r="P341" s="26"/>
      <c r="Q341" s="1" t="s">
        <v>7</v>
      </c>
      <c r="R341" s="1" t="s">
        <v>55</v>
      </c>
      <c r="S341" s="1" t="s">
        <v>56</v>
      </c>
      <c r="T341" s="1" t="s">
        <v>101</v>
      </c>
      <c r="U341" s="1" t="s">
        <v>102</v>
      </c>
    </row>
    <row r="342" spans="1:21" ht="26.25" x14ac:dyDescent="0.25">
      <c r="A342" s="3" t="s">
        <v>1233</v>
      </c>
      <c r="B342" s="2" t="s">
        <v>560</v>
      </c>
      <c r="C342" s="13" t="s">
        <v>1389</v>
      </c>
      <c r="D342" s="14" t="s">
        <v>1423</v>
      </c>
      <c r="E342" s="14" t="s">
        <v>1423</v>
      </c>
      <c r="F342" s="14" t="s">
        <v>1423</v>
      </c>
      <c r="G342" s="14" t="s">
        <v>1423</v>
      </c>
      <c r="H342" s="14" t="s">
        <v>1423</v>
      </c>
      <c r="I342" s="14" t="s">
        <v>1423</v>
      </c>
      <c r="J342" s="13" t="s">
        <v>1473</v>
      </c>
      <c r="K342" s="6" t="str">
        <f>HYPERLINK("http://explorer.natureserve.org/servlet/NatureServe?searchSpeciesUid=ELEMENT_GLOBAL.2.105622")</f>
        <v>http://explorer.natureserve.org/servlet/NatureServe?searchSpeciesUid=ELEMENT_GLOBAL.2.105622</v>
      </c>
      <c r="L342" s="25" t="s">
        <v>62</v>
      </c>
      <c r="M342" s="1" t="s">
        <v>915</v>
      </c>
      <c r="N342" s="1" t="s">
        <v>59</v>
      </c>
      <c r="O342" s="1" t="s">
        <v>32</v>
      </c>
      <c r="P342" s="26"/>
      <c r="Q342" s="1" t="s">
        <v>7</v>
      </c>
      <c r="R342" s="1" t="s">
        <v>55</v>
      </c>
      <c r="S342" s="1" t="s">
        <v>56</v>
      </c>
      <c r="T342" s="1" t="s">
        <v>57</v>
      </c>
      <c r="U342" s="1" t="s">
        <v>236</v>
      </c>
    </row>
    <row r="343" spans="1:21" ht="26.25" x14ac:dyDescent="0.25">
      <c r="A343" s="3" t="s">
        <v>607</v>
      </c>
      <c r="B343" s="2" t="s">
        <v>606</v>
      </c>
      <c r="C343" s="13" t="s">
        <v>1427</v>
      </c>
      <c r="D343" s="14"/>
      <c r="E343" s="13" t="s">
        <v>1427</v>
      </c>
      <c r="F343" s="13" t="s">
        <v>1422</v>
      </c>
      <c r="G343" s="13" t="s">
        <v>1427</v>
      </c>
      <c r="H343" s="13"/>
      <c r="I343" s="13"/>
      <c r="J343" s="29" t="s">
        <v>1470</v>
      </c>
      <c r="K343" s="6" t="s">
        <v>1234</v>
      </c>
      <c r="L343" s="25" t="s">
        <v>62</v>
      </c>
      <c r="M343" s="1" t="s">
        <v>914</v>
      </c>
      <c r="N343" s="1" t="s">
        <v>189</v>
      </c>
      <c r="O343" s="1" t="s">
        <v>32</v>
      </c>
      <c r="P343" s="26"/>
      <c r="Q343" s="1" t="s">
        <v>105</v>
      </c>
      <c r="R343" s="1" t="s">
        <v>185</v>
      </c>
      <c r="S343" s="1" t="s">
        <v>200</v>
      </c>
      <c r="T343" s="1" t="s">
        <v>201</v>
      </c>
      <c r="U343" s="1" t="s">
        <v>202</v>
      </c>
    </row>
    <row r="344" spans="1:21" ht="26.25" x14ac:dyDescent="0.25">
      <c r="A344" s="3" t="s">
        <v>841</v>
      </c>
      <c r="B344" s="2" t="s">
        <v>842</v>
      </c>
      <c r="C344" s="13"/>
      <c r="D344" s="14" t="s">
        <v>1384</v>
      </c>
      <c r="E344" s="13"/>
      <c r="F344" s="13"/>
      <c r="G344" s="13"/>
      <c r="H344" s="13"/>
      <c r="I344" s="13"/>
      <c r="J344" s="13" t="s">
        <v>1471</v>
      </c>
      <c r="K344" s="6" t="str">
        <f>HYPERLINK("http://explorer.natureserve.org/servlet/NatureServe?searchSpeciesUid=ELEMENT_GLOBAL.2.108203")</f>
        <v>http://explorer.natureserve.org/servlet/NatureServe?searchSpeciesUid=ELEMENT_GLOBAL.2.108203</v>
      </c>
      <c r="L344" s="25" t="s">
        <v>35</v>
      </c>
      <c r="M344" s="1" t="s">
        <v>922</v>
      </c>
      <c r="N344" s="1" t="s">
        <v>12</v>
      </c>
      <c r="O344" s="1" t="s">
        <v>32</v>
      </c>
      <c r="P344" s="26"/>
      <c r="Q344" s="1" t="s">
        <v>7</v>
      </c>
      <c r="R344" s="1" t="s">
        <v>8</v>
      </c>
      <c r="S344" s="1" t="s">
        <v>9</v>
      </c>
      <c r="T344" s="1" t="s">
        <v>30</v>
      </c>
      <c r="U344" s="1" t="s">
        <v>840</v>
      </c>
    </row>
    <row r="345" spans="1:21" ht="26.25" x14ac:dyDescent="0.25">
      <c r="A345" s="3" t="s">
        <v>391</v>
      </c>
      <c r="B345" s="2" t="s">
        <v>392</v>
      </c>
      <c r="C345" s="13"/>
      <c r="D345" s="14" t="s">
        <v>1388</v>
      </c>
      <c r="E345" s="13"/>
      <c r="F345" s="13"/>
      <c r="G345" s="13"/>
      <c r="H345" s="13"/>
      <c r="I345" s="13"/>
      <c r="J345" s="13" t="s">
        <v>1477</v>
      </c>
      <c r="K345" s="6" t="str">
        <f>HYPERLINK("http://explorer.natureserve.org/servlet/NatureServe?searchSpeciesUid=ELEMENT_GLOBAL.2.105543")</f>
        <v>http://explorer.natureserve.org/servlet/NatureServe?searchSpeciesUid=ELEMENT_GLOBAL.2.105543</v>
      </c>
      <c r="L345" s="25" t="s">
        <v>82</v>
      </c>
      <c r="M345" s="1" t="s">
        <v>915</v>
      </c>
      <c r="N345" s="1" t="s">
        <v>171</v>
      </c>
      <c r="O345" s="1" t="s">
        <v>32</v>
      </c>
      <c r="P345" s="26"/>
      <c r="Q345" s="1" t="s">
        <v>7</v>
      </c>
      <c r="R345" s="1" t="s">
        <v>55</v>
      </c>
      <c r="S345" s="1" t="s">
        <v>326</v>
      </c>
      <c r="T345" s="1" t="s">
        <v>327</v>
      </c>
      <c r="U345" s="1" t="s">
        <v>390</v>
      </c>
    </row>
    <row r="346" spans="1:21" ht="26.25" x14ac:dyDescent="0.25">
      <c r="A346" s="3" t="s">
        <v>1236</v>
      </c>
      <c r="B346" s="2" t="s">
        <v>690</v>
      </c>
      <c r="C346" s="13"/>
      <c r="D346" s="14"/>
      <c r="E346" s="13" t="s">
        <v>1427</v>
      </c>
      <c r="F346" s="13" t="s">
        <v>1422</v>
      </c>
      <c r="G346" s="13"/>
      <c r="H346" s="13"/>
      <c r="I346" s="13"/>
      <c r="J346" s="29" t="s">
        <v>1470</v>
      </c>
      <c r="K346" s="6" t="s">
        <v>1235</v>
      </c>
      <c r="L346" s="25" t="s">
        <v>691</v>
      </c>
      <c r="M346" s="1" t="s">
        <v>914</v>
      </c>
      <c r="N346" s="1" t="s">
        <v>189</v>
      </c>
      <c r="O346" s="1" t="s">
        <v>32</v>
      </c>
      <c r="P346" s="26"/>
      <c r="Q346" s="1" t="s">
        <v>105</v>
      </c>
      <c r="R346" s="1" t="s">
        <v>185</v>
      </c>
      <c r="S346" s="1" t="s">
        <v>200</v>
      </c>
      <c r="T346" s="1" t="s">
        <v>246</v>
      </c>
      <c r="U346" s="1" t="s">
        <v>247</v>
      </c>
    </row>
    <row r="347" spans="1:21" ht="26.25" x14ac:dyDescent="0.25">
      <c r="A347" s="3" t="s">
        <v>248</v>
      </c>
      <c r="B347" s="2" t="s">
        <v>249</v>
      </c>
      <c r="C347" s="13" t="s">
        <v>1403</v>
      </c>
      <c r="D347" s="14"/>
      <c r="E347" s="13"/>
      <c r="F347" s="13" t="s">
        <v>151</v>
      </c>
      <c r="G347" s="13"/>
      <c r="H347" s="13"/>
      <c r="I347" s="13"/>
      <c r="J347" s="13" t="s">
        <v>1477</v>
      </c>
      <c r="K347" s="6" t="s">
        <v>1237</v>
      </c>
      <c r="L347" s="25" t="s">
        <v>245</v>
      </c>
      <c r="M347" s="1" t="s">
        <v>914</v>
      </c>
      <c r="N347" s="1" t="s">
        <v>189</v>
      </c>
      <c r="O347" s="1" t="s">
        <v>32</v>
      </c>
      <c r="P347" s="26"/>
      <c r="Q347" s="1" t="s">
        <v>105</v>
      </c>
      <c r="R347" s="1" t="s">
        <v>185</v>
      </c>
      <c r="S347" s="1" t="s">
        <v>200</v>
      </c>
      <c r="T347" s="1" t="s">
        <v>246</v>
      </c>
      <c r="U347" s="1" t="s">
        <v>247</v>
      </c>
    </row>
    <row r="348" spans="1:21" ht="26.25" x14ac:dyDescent="0.25">
      <c r="A348" s="3" t="s">
        <v>528</v>
      </c>
      <c r="B348" s="2" t="s">
        <v>529</v>
      </c>
      <c r="C348" s="13"/>
      <c r="D348" s="14" t="s">
        <v>1388</v>
      </c>
      <c r="E348" s="13"/>
      <c r="F348" s="13"/>
      <c r="G348" s="13"/>
      <c r="H348" s="13"/>
      <c r="I348" s="13"/>
      <c r="J348" s="13" t="s">
        <v>1477</v>
      </c>
      <c r="K348" s="6" t="str">
        <f>HYPERLINK("http://explorer.natureserve.org/servlet/NatureServe?searchSpeciesUid=ELEMENT_GLOBAL.2.115635")</f>
        <v>http://explorer.natureserve.org/servlet/NatureServe?searchSpeciesUid=ELEMENT_GLOBAL.2.115635</v>
      </c>
      <c r="L348" s="25" t="s">
        <v>62</v>
      </c>
      <c r="M348" s="1" t="s">
        <v>922</v>
      </c>
      <c r="N348" s="1" t="s">
        <v>12</v>
      </c>
      <c r="O348" s="1" t="s">
        <v>32</v>
      </c>
      <c r="P348" s="26"/>
      <c r="Q348" s="1" t="s">
        <v>7</v>
      </c>
      <c r="R348" s="1" t="s">
        <v>8</v>
      </c>
      <c r="S348" s="1" t="s">
        <v>9</v>
      </c>
      <c r="T348" s="1" t="s">
        <v>207</v>
      </c>
      <c r="U348" s="1" t="s">
        <v>409</v>
      </c>
    </row>
    <row r="349" spans="1:21" ht="26.25" x14ac:dyDescent="0.25">
      <c r="A349" s="3" t="s">
        <v>435</v>
      </c>
      <c r="B349" s="2" t="s">
        <v>436</v>
      </c>
      <c r="C349" s="13"/>
      <c r="D349" s="14" t="s">
        <v>1388</v>
      </c>
      <c r="E349" s="13"/>
      <c r="F349" s="13"/>
      <c r="G349" s="13"/>
      <c r="H349" s="13"/>
      <c r="I349" s="13"/>
      <c r="J349" s="13" t="s">
        <v>1477</v>
      </c>
      <c r="K349" s="6" t="str">
        <f>HYPERLINK("http://explorer.natureserve.org/servlet/NatureServe?searchSpeciesUid=ELEMENT_GLOBAL.2.112380")</f>
        <v>http://explorer.natureserve.org/servlet/NatureServe?searchSpeciesUid=ELEMENT_GLOBAL.2.112380</v>
      </c>
      <c r="L349" s="25" t="s">
        <v>62</v>
      </c>
      <c r="M349" s="1" t="s">
        <v>922</v>
      </c>
      <c r="N349" s="1" t="s">
        <v>12</v>
      </c>
      <c r="O349" s="1" t="s">
        <v>32</v>
      </c>
      <c r="P349" s="26"/>
      <c r="Q349" s="1" t="s">
        <v>7</v>
      </c>
      <c r="R349" s="1" t="s">
        <v>8</v>
      </c>
      <c r="S349" s="1" t="s">
        <v>9</v>
      </c>
      <c r="T349" s="1" t="s">
        <v>207</v>
      </c>
      <c r="U349" s="1" t="s">
        <v>409</v>
      </c>
    </row>
    <row r="350" spans="1:21" ht="26.25" x14ac:dyDescent="0.25">
      <c r="A350" s="3" t="s">
        <v>780</v>
      </c>
      <c r="B350" s="2" t="s">
        <v>781</v>
      </c>
      <c r="C350" s="13" t="s">
        <v>1405</v>
      </c>
      <c r="D350" s="14"/>
      <c r="E350" s="13" t="s">
        <v>1372</v>
      </c>
      <c r="F350" s="13" t="s">
        <v>1405</v>
      </c>
      <c r="G350" s="13"/>
      <c r="H350" s="13" t="s">
        <v>1405</v>
      </c>
      <c r="I350" s="13"/>
      <c r="J350" s="13" t="s">
        <v>1474</v>
      </c>
      <c r="K350" s="6" t="s">
        <v>1238</v>
      </c>
      <c r="L350" s="25" t="s">
        <v>782</v>
      </c>
      <c r="M350" s="1" t="s">
        <v>915</v>
      </c>
      <c r="N350" s="1" t="s">
        <v>79</v>
      </c>
      <c r="O350" s="1" t="s">
        <v>32</v>
      </c>
      <c r="P350" s="26"/>
      <c r="Q350" s="1" t="s">
        <v>7</v>
      </c>
      <c r="R350" s="1" t="s">
        <v>55</v>
      </c>
      <c r="S350" s="1" t="s">
        <v>76</v>
      </c>
      <c r="T350" s="1" t="s">
        <v>778</v>
      </c>
      <c r="U350" s="1" t="s">
        <v>779</v>
      </c>
    </row>
    <row r="351" spans="1:21" ht="26.25" x14ac:dyDescent="0.25">
      <c r="A351" s="7" t="s">
        <v>1240</v>
      </c>
      <c r="B351" s="8" t="s">
        <v>1241</v>
      </c>
      <c r="C351" s="13"/>
      <c r="D351" s="14" t="s">
        <v>151</v>
      </c>
      <c r="E351" s="13" t="s">
        <v>1393</v>
      </c>
      <c r="F351" s="13" t="s">
        <v>1395</v>
      </c>
      <c r="G351" s="13"/>
      <c r="H351" s="13"/>
      <c r="I351" s="13"/>
      <c r="J351" s="13" t="s">
        <v>1477</v>
      </c>
      <c r="K351" s="6" t="s">
        <v>1239</v>
      </c>
      <c r="L351" s="25" t="s">
        <v>52</v>
      </c>
      <c r="M351" s="1" t="s">
        <v>922</v>
      </c>
      <c r="N351" s="1" t="s">
        <v>12</v>
      </c>
      <c r="O351" s="1" t="s">
        <v>32</v>
      </c>
      <c r="P351" s="26" t="s">
        <v>16</v>
      </c>
      <c r="Q351" s="1" t="s">
        <v>7</v>
      </c>
      <c r="R351" s="1" t="s">
        <v>8</v>
      </c>
      <c r="S351" s="1" t="s">
        <v>9</v>
      </c>
      <c r="T351" s="1" t="s">
        <v>141</v>
      </c>
      <c r="U351" s="1" t="s">
        <v>460</v>
      </c>
    </row>
    <row r="352" spans="1:21" ht="26.25" x14ac:dyDescent="0.25">
      <c r="A352" s="3" t="s">
        <v>712</v>
      </c>
      <c r="B352" s="2" t="s">
        <v>713</v>
      </c>
      <c r="C352" s="13" t="s">
        <v>1403</v>
      </c>
      <c r="D352" s="14"/>
      <c r="E352" s="13"/>
      <c r="F352" s="13" t="s">
        <v>1438</v>
      </c>
      <c r="G352" s="13"/>
      <c r="H352" s="13"/>
      <c r="I352" s="13"/>
      <c r="J352" s="13" t="s">
        <v>1477</v>
      </c>
      <c r="K352" s="6" t="s">
        <v>1242</v>
      </c>
      <c r="L352" s="25" t="s">
        <v>52</v>
      </c>
      <c r="M352" s="1" t="s">
        <v>922</v>
      </c>
      <c r="N352" s="1" t="s">
        <v>12</v>
      </c>
      <c r="O352" s="1" t="s">
        <v>32</v>
      </c>
      <c r="P352" s="26"/>
      <c r="Q352" s="1" t="s">
        <v>7</v>
      </c>
      <c r="R352" s="1" t="s">
        <v>8</v>
      </c>
      <c r="S352" s="1" t="s">
        <v>9</v>
      </c>
      <c r="T352" s="1" t="s">
        <v>141</v>
      </c>
      <c r="U352" s="1" t="s">
        <v>460</v>
      </c>
    </row>
    <row r="353" spans="1:21" ht="26.25" x14ac:dyDescent="0.25">
      <c r="A353" s="3" t="s">
        <v>350</v>
      </c>
      <c r="B353" s="2" t="s">
        <v>351</v>
      </c>
      <c r="C353" s="13"/>
      <c r="D353" s="14"/>
      <c r="E353" s="13" t="s">
        <v>1393</v>
      </c>
      <c r="F353" s="13"/>
      <c r="G353" s="13"/>
      <c r="H353" s="13"/>
      <c r="I353" s="13"/>
      <c r="J353" s="13" t="s">
        <v>1477</v>
      </c>
      <c r="K353" s="6" t="s">
        <v>1243</v>
      </c>
      <c r="L353" s="25" t="s">
        <v>15</v>
      </c>
      <c r="M353" s="1" t="s">
        <v>922</v>
      </c>
      <c r="N353" s="1" t="s">
        <v>21</v>
      </c>
      <c r="O353" s="1" t="s">
        <v>13</v>
      </c>
      <c r="P353" s="26"/>
      <c r="Q353" s="1" t="s">
        <v>7</v>
      </c>
      <c r="R353" s="1" t="s">
        <v>36</v>
      </c>
      <c r="S353" s="1" t="s">
        <v>37</v>
      </c>
      <c r="T353" s="1" t="s">
        <v>38</v>
      </c>
      <c r="U353" s="1" t="s">
        <v>349</v>
      </c>
    </row>
    <row r="354" spans="1:21" ht="26.25" x14ac:dyDescent="0.25">
      <c r="A354" s="3" t="s">
        <v>710</v>
      </c>
      <c r="B354" s="2" t="s">
        <v>711</v>
      </c>
      <c r="C354" s="13" t="s">
        <v>1403</v>
      </c>
      <c r="D354" s="14" t="s">
        <v>1420</v>
      </c>
      <c r="E354" s="14" t="s">
        <v>1420</v>
      </c>
      <c r="F354" s="13"/>
      <c r="G354" s="13"/>
      <c r="H354" s="14" t="s">
        <v>1420</v>
      </c>
      <c r="I354" s="14" t="s">
        <v>1420</v>
      </c>
      <c r="J354" s="13" t="s">
        <v>1477</v>
      </c>
      <c r="K354" s="6" t="str">
        <f>HYPERLINK("http://explorer.natureserve.org/servlet/NatureServe?searchSpeciesUid=ELEMENT_GLOBAL.2.116360")</f>
        <v>http://explorer.natureserve.org/servlet/NatureServe?searchSpeciesUid=ELEMENT_GLOBAL.2.116360</v>
      </c>
      <c r="L354" s="25" t="s">
        <v>35</v>
      </c>
      <c r="M354" s="1" t="s">
        <v>922</v>
      </c>
      <c r="N354" s="1" t="s">
        <v>21</v>
      </c>
      <c r="O354" s="1" t="s">
        <v>13</v>
      </c>
      <c r="P354" s="26"/>
      <c r="Q354" s="1" t="s">
        <v>7</v>
      </c>
      <c r="R354" s="1" t="s">
        <v>36</v>
      </c>
      <c r="S354" s="1" t="s">
        <v>37</v>
      </c>
      <c r="T354" s="1" t="s">
        <v>38</v>
      </c>
      <c r="U354" s="1" t="s">
        <v>349</v>
      </c>
    </row>
    <row r="355" spans="1:21" ht="26.25" x14ac:dyDescent="0.25">
      <c r="A355" s="3" t="s">
        <v>873</v>
      </c>
      <c r="B355" s="2" t="s">
        <v>874</v>
      </c>
      <c r="C355" s="13" t="s">
        <v>1405</v>
      </c>
      <c r="D355" s="14"/>
      <c r="E355" s="13" t="s">
        <v>1372</v>
      </c>
      <c r="F355" s="13"/>
      <c r="G355" s="13"/>
      <c r="H355" s="13"/>
      <c r="I355" s="13"/>
      <c r="J355" s="13" t="s">
        <v>1474</v>
      </c>
      <c r="K355" s="6" t="s">
        <v>1244</v>
      </c>
      <c r="L355" s="25" t="s">
        <v>116</v>
      </c>
      <c r="M355" s="1" t="s">
        <v>914</v>
      </c>
      <c r="N355" s="1" t="s">
        <v>252</v>
      </c>
      <c r="O355" s="1" t="s">
        <v>32</v>
      </c>
      <c r="P355" s="26"/>
      <c r="Q355" s="1" t="s">
        <v>105</v>
      </c>
      <c r="R355" s="1" t="s">
        <v>185</v>
      </c>
      <c r="S355" s="1" t="s">
        <v>200</v>
      </c>
      <c r="T355" s="1" t="s">
        <v>201</v>
      </c>
      <c r="U355" s="1" t="s">
        <v>202</v>
      </c>
    </row>
    <row r="356" spans="1:21" ht="26.25" x14ac:dyDescent="0.25">
      <c r="A356" s="3" t="s">
        <v>180</v>
      </c>
      <c r="B356" s="2" t="s">
        <v>181</v>
      </c>
      <c r="C356" s="13"/>
      <c r="D356" s="14"/>
      <c r="E356" s="13" t="s">
        <v>1372</v>
      </c>
      <c r="F356" s="13" t="s">
        <v>1405</v>
      </c>
      <c r="G356" s="13"/>
      <c r="H356" s="13"/>
      <c r="I356" s="13"/>
      <c r="J356" s="13" t="s">
        <v>1474</v>
      </c>
      <c r="K356" s="6" t="s">
        <v>1245</v>
      </c>
      <c r="L356" s="25" t="s">
        <v>116</v>
      </c>
      <c r="M356" s="1" t="s">
        <v>922</v>
      </c>
      <c r="N356" s="1" t="s">
        <v>21</v>
      </c>
      <c r="O356" s="1" t="s">
        <v>32</v>
      </c>
      <c r="P356" s="26"/>
      <c r="Q356" s="1" t="s">
        <v>7</v>
      </c>
      <c r="R356" s="1" t="s">
        <v>63</v>
      </c>
      <c r="S356" s="1" t="s">
        <v>177</v>
      </c>
      <c r="T356" s="1" t="s">
        <v>178</v>
      </c>
      <c r="U356" s="1" t="s">
        <v>179</v>
      </c>
    </row>
    <row r="357" spans="1:21" ht="26.25" x14ac:dyDescent="0.25">
      <c r="A357" s="3" t="s">
        <v>337</v>
      </c>
      <c r="B357" s="2" t="s">
        <v>338</v>
      </c>
      <c r="C357" s="13"/>
      <c r="D357" s="14"/>
      <c r="E357" s="13" t="s">
        <v>1393</v>
      </c>
      <c r="F357" s="13"/>
      <c r="G357" s="13"/>
      <c r="H357" s="13"/>
      <c r="I357" s="13"/>
      <c r="J357" s="13" t="s">
        <v>1477</v>
      </c>
      <c r="K357" s="6" t="s">
        <v>1246</v>
      </c>
      <c r="L357" s="25" t="s">
        <v>15</v>
      </c>
      <c r="M357" s="1" t="s">
        <v>922</v>
      </c>
      <c r="N357" s="1" t="s">
        <v>21</v>
      </c>
      <c r="O357" s="1" t="s">
        <v>13</v>
      </c>
      <c r="P357" s="26"/>
      <c r="Q357" s="1" t="s">
        <v>7</v>
      </c>
      <c r="R357" s="1" t="s">
        <v>8</v>
      </c>
      <c r="S357" s="1" t="s">
        <v>71</v>
      </c>
      <c r="T357" s="1" t="s">
        <v>113</v>
      </c>
      <c r="U357" s="1" t="s">
        <v>114</v>
      </c>
    </row>
    <row r="358" spans="1:21" ht="26.25" x14ac:dyDescent="0.25">
      <c r="A358" s="3" t="s">
        <v>347</v>
      </c>
      <c r="B358" s="2" t="s">
        <v>348</v>
      </c>
      <c r="C358" s="13"/>
      <c r="D358" s="14"/>
      <c r="E358" s="13" t="s">
        <v>1393</v>
      </c>
      <c r="F358" s="13"/>
      <c r="G358" s="13"/>
      <c r="H358" s="13"/>
      <c r="I358" s="13"/>
      <c r="J358" s="13" t="s">
        <v>1477</v>
      </c>
      <c r="K358" s="6" t="s">
        <v>1247</v>
      </c>
      <c r="L358" s="25" t="s">
        <v>47</v>
      </c>
      <c r="M358" s="1" t="s">
        <v>922</v>
      </c>
      <c r="N358" s="1" t="s">
        <v>21</v>
      </c>
      <c r="O358" s="1" t="s">
        <v>13</v>
      </c>
      <c r="P358" s="26"/>
      <c r="Q358" s="1" t="s">
        <v>7</v>
      </c>
      <c r="R358" s="1" t="s">
        <v>8</v>
      </c>
      <c r="S358" s="1" t="s">
        <v>71</v>
      </c>
      <c r="T358" s="1" t="s">
        <v>113</v>
      </c>
      <c r="U358" s="1" t="s">
        <v>114</v>
      </c>
    </row>
    <row r="359" spans="1:21" ht="26.25" x14ac:dyDescent="0.25">
      <c r="A359" s="3" t="s">
        <v>666</v>
      </c>
      <c r="B359" s="2" t="s">
        <v>667</v>
      </c>
      <c r="C359" s="13"/>
      <c r="D359" s="14"/>
      <c r="E359" s="13" t="s">
        <v>1393</v>
      </c>
      <c r="F359" s="13"/>
      <c r="G359" s="13"/>
      <c r="H359" s="13"/>
      <c r="I359" s="13"/>
      <c r="J359" s="13" t="s">
        <v>1477</v>
      </c>
      <c r="K359" s="6" t="s">
        <v>1248</v>
      </c>
      <c r="L359" s="25" t="s">
        <v>15</v>
      </c>
      <c r="M359" s="1" t="s">
        <v>922</v>
      </c>
      <c r="N359" s="1" t="s">
        <v>21</v>
      </c>
      <c r="O359" s="1" t="s">
        <v>13</v>
      </c>
      <c r="P359" s="26"/>
      <c r="Q359" s="1" t="s">
        <v>7</v>
      </c>
      <c r="R359" s="1" t="s">
        <v>8</v>
      </c>
      <c r="S359" s="1" t="s">
        <v>71</v>
      </c>
      <c r="T359" s="1" t="s">
        <v>113</v>
      </c>
      <c r="U359" s="1" t="s">
        <v>114</v>
      </c>
    </row>
    <row r="360" spans="1:21" ht="26.25" x14ac:dyDescent="0.25">
      <c r="A360" s="3" t="s">
        <v>648</v>
      </c>
      <c r="B360" s="2" t="s">
        <v>649</v>
      </c>
      <c r="C360" s="13"/>
      <c r="D360" s="14"/>
      <c r="E360" s="13" t="s">
        <v>1393</v>
      </c>
      <c r="F360" s="13" t="s">
        <v>1393</v>
      </c>
      <c r="G360" s="13"/>
      <c r="H360" s="13"/>
      <c r="I360" s="13"/>
      <c r="J360" s="13" t="s">
        <v>1477</v>
      </c>
      <c r="K360" s="6" t="s">
        <v>1249</v>
      </c>
      <c r="L360" s="25" t="s">
        <v>15</v>
      </c>
      <c r="M360" s="1" t="s">
        <v>922</v>
      </c>
      <c r="N360" s="1" t="s">
        <v>21</v>
      </c>
      <c r="O360" s="1" t="s">
        <v>13</v>
      </c>
      <c r="P360" s="26"/>
      <c r="Q360" s="1" t="s">
        <v>7</v>
      </c>
      <c r="R360" s="1" t="s">
        <v>8</v>
      </c>
      <c r="S360" s="1" t="s">
        <v>71</v>
      </c>
      <c r="T360" s="1" t="s">
        <v>113</v>
      </c>
      <c r="U360" s="1" t="s">
        <v>114</v>
      </c>
    </row>
    <row r="361" spans="1:21" ht="26.25" x14ac:dyDescent="0.25">
      <c r="A361" s="3" t="s">
        <v>796</v>
      </c>
      <c r="B361" s="2" t="s">
        <v>797</v>
      </c>
      <c r="C361" s="13" t="s">
        <v>1403</v>
      </c>
      <c r="D361" s="14"/>
      <c r="E361" s="13"/>
      <c r="F361" s="13"/>
      <c r="G361" s="13"/>
      <c r="H361" s="13"/>
      <c r="I361" s="13"/>
      <c r="J361" s="13" t="s">
        <v>1477</v>
      </c>
      <c r="K361" s="6" t="s">
        <v>1250</v>
      </c>
      <c r="L361" s="25" t="s">
        <v>192</v>
      </c>
      <c r="M361" s="1" t="s">
        <v>922</v>
      </c>
      <c r="N361" s="1" t="s">
        <v>21</v>
      </c>
      <c r="O361" s="1" t="s">
        <v>13</v>
      </c>
      <c r="P361" s="26"/>
      <c r="Q361" s="1" t="s">
        <v>7</v>
      </c>
      <c r="R361" s="1" t="s">
        <v>8</v>
      </c>
      <c r="S361" s="1" t="s">
        <v>71</v>
      </c>
      <c r="T361" s="1" t="s">
        <v>113</v>
      </c>
      <c r="U361" s="1" t="s">
        <v>114</v>
      </c>
    </row>
    <row r="362" spans="1:21" ht="26.25" x14ac:dyDescent="0.25">
      <c r="A362" s="3" t="s">
        <v>725</v>
      </c>
      <c r="B362" s="2" t="s">
        <v>726</v>
      </c>
      <c r="C362" s="13"/>
      <c r="D362" s="14" t="s">
        <v>1388</v>
      </c>
      <c r="E362" s="13"/>
      <c r="F362" s="13"/>
      <c r="G362" s="13"/>
      <c r="H362" s="13"/>
      <c r="I362" s="13"/>
      <c r="J362" s="13" t="s">
        <v>1477</v>
      </c>
      <c r="K362" s="6" t="str">
        <f>HYPERLINK("http://explorer.natureserve.org/servlet/NatureServe?searchSpeciesUid=ELEMENT_GLOBAL.2.107164")</f>
        <v>http://explorer.natureserve.org/servlet/NatureServe?searchSpeciesUid=ELEMENT_GLOBAL.2.107164</v>
      </c>
      <c r="L362" s="25" t="s">
        <v>62</v>
      </c>
      <c r="M362" s="1" t="s">
        <v>922</v>
      </c>
      <c r="N362" s="1" t="s">
        <v>12</v>
      </c>
      <c r="O362" s="1" t="s">
        <v>32</v>
      </c>
      <c r="P362" s="26"/>
      <c r="Q362" s="1" t="s">
        <v>7</v>
      </c>
      <c r="R362" s="1" t="s">
        <v>8</v>
      </c>
      <c r="S362" s="1" t="s">
        <v>9</v>
      </c>
      <c r="T362" s="1" t="s">
        <v>207</v>
      </c>
      <c r="U362" s="1" t="s">
        <v>334</v>
      </c>
    </row>
    <row r="363" spans="1:21" ht="26.25" x14ac:dyDescent="0.25">
      <c r="A363" s="3" t="s">
        <v>668</v>
      </c>
      <c r="B363" s="2" t="s">
        <v>669</v>
      </c>
      <c r="C363" s="13"/>
      <c r="D363" s="14"/>
      <c r="E363" s="13" t="s">
        <v>1372</v>
      </c>
      <c r="F363" s="13"/>
      <c r="G363" s="13"/>
      <c r="H363" s="13" t="s">
        <v>1405</v>
      </c>
      <c r="I363" s="13"/>
      <c r="J363" s="13" t="s">
        <v>1474</v>
      </c>
      <c r="K363" s="6" t="s">
        <v>1251</v>
      </c>
      <c r="L363" s="25" t="s">
        <v>116</v>
      </c>
      <c r="M363" s="1" t="s">
        <v>922</v>
      </c>
      <c r="N363" s="1" t="s">
        <v>12</v>
      </c>
      <c r="O363" s="1" t="s">
        <v>32</v>
      </c>
      <c r="P363" s="26"/>
      <c r="Q363" s="1" t="s">
        <v>7</v>
      </c>
      <c r="R363" s="1" t="s">
        <v>8</v>
      </c>
      <c r="S363" s="1" t="s">
        <v>9</v>
      </c>
      <c r="T363" s="1" t="s">
        <v>48</v>
      </c>
      <c r="U363" s="1" t="s">
        <v>148</v>
      </c>
    </row>
    <row r="364" spans="1:21" ht="26.25" x14ac:dyDescent="0.25">
      <c r="A364" s="3" t="s">
        <v>132</v>
      </c>
      <c r="B364" s="2" t="s">
        <v>133</v>
      </c>
      <c r="C364" s="13" t="s">
        <v>1403</v>
      </c>
      <c r="D364" s="14" t="s">
        <v>151</v>
      </c>
      <c r="E364" s="14" t="s">
        <v>1420</v>
      </c>
      <c r="F364" s="14" t="s">
        <v>1420</v>
      </c>
      <c r="G364" s="13"/>
      <c r="H364" s="14" t="s">
        <v>1420</v>
      </c>
      <c r="I364" s="13"/>
      <c r="J364" s="13" t="s">
        <v>1477</v>
      </c>
      <c r="K364" s="6" t="str">
        <f>HYPERLINK("http://explorer.natureserve.org/servlet/NatureServe?searchSpeciesUid=ELEMENT_GLOBAL.2.101018")</f>
        <v>http://explorer.natureserve.org/servlet/NatureServe?searchSpeciesUid=ELEMENT_GLOBAL.2.101018</v>
      </c>
      <c r="L364" s="25" t="s">
        <v>89</v>
      </c>
      <c r="M364" s="1" t="s">
        <v>915</v>
      </c>
      <c r="N364" s="1" t="s">
        <v>79</v>
      </c>
      <c r="O364" s="1" t="s">
        <v>32</v>
      </c>
      <c r="P364" s="26"/>
      <c r="Q364" s="1" t="s">
        <v>7</v>
      </c>
      <c r="R364" s="1" t="s">
        <v>55</v>
      </c>
      <c r="S364" s="1" t="s">
        <v>76</v>
      </c>
      <c r="T364" s="1" t="s">
        <v>130</v>
      </c>
      <c r="U364" s="1" t="s">
        <v>131</v>
      </c>
    </row>
    <row r="365" spans="1:21" ht="26.25" x14ac:dyDescent="0.25">
      <c r="A365" s="3" t="s">
        <v>209</v>
      </c>
      <c r="B365" s="2" t="s">
        <v>210</v>
      </c>
      <c r="C365" s="13" t="s">
        <v>151</v>
      </c>
      <c r="D365" s="14" t="s">
        <v>1388</v>
      </c>
      <c r="E365" s="13" t="s">
        <v>151</v>
      </c>
      <c r="F365" s="13" t="s">
        <v>151</v>
      </c>
      <c r="G365" s="13" t="s">
        <v>151</v>
      </c>
      <c r="H365" s="13" t="s">
        <v>151</v>
      </c>
      <c r="I365" s="13" t="s">
        <v>151</v>
      </c>
      <c r="J365" s="13" t="s">
        <v>1477</v>
      </c>
      <c r="K365" s="6" t="str">
        <f>HYPERLINK("http://explorer.natureserve.org/servlet/NatureServe?searchSpeciesUid=ELEMENT_GLOBAL.2.110107")</f>
        <v>http://explorer.natureserve.org/servlet/NatureServe?searchSpeciesUid=ELEMENT_GLOBAL.2.110107</v>
      </c>
      <c r="L365" s="25" t="s">
        <v>62</v>
      </c>
      <c r="M365" s="1" t="s">
        <v>922</v>
      </c>
      <c r="N365" s="1" t="s">
        <v>12</v>
      </c>
      <c r="O365" s="1" t="s">
        <v>32</v>
      </c>
      <c r="P365" s="26"/>
      <c r="Q365" s="1" t="s">
        <v>7</v>
      </c>
      <c r="R365" s="1" t="s">
        <v>8</v>
      </c>
      <c r="S365" s="1" t="s">
        <v>9</v>
      </c>
      <c r="T365" s="1" t="s">
        <v>207</v>
      </c>
      <c r="U365" s="1" t="s">
        <v>208</v>
      </c>
    </row>
    <row r="366" spans="1:21" ht="26.25" x14ac:dyDescent="0.25">
      <c r="A366" s="3" t="s">
        <v>1253</v>
      </c>
      <c r="B366" s="2" t="s">
        <v>111</v>
      </c>
      <c r="C366" s="13"/>
      <c r="D366" s="14"/>
      <c r="E366" s="13" t="s">
        <v>1372</v>
      </c>
      <c r="F366" s="13"/>
      <c r="G366" s="13"/>
      <c r="H366" s="13"/>
      <c r="I366" s="13"/>
      <c r="J366" s="13" t="s">
        <v>1474</v>
      </c>
      <c r="K366" s="6" t="s">
        <v>1252</v>
      </c>
      <c r="L366" s="25" t="s">
        <v>15</v>
      </c>
      <c r="M366" s="1" t="s">
        <v>1059</v>
      </c>
      <c r="N366" s="1" t="s">
        <v>110</v>
      </c>
      <c r="O366" s="1" t="s">
        <v>32</v>
      </c>
      <c r="P366" s="26"/>
      <c r="Q366" s="1" t="s">
        <v>105</v>
      </c>
      <c r="R366" s="1" t="s">
        <v>106</v>
      </c>
      <c r="S366" s="1" t="s">
        <v>107</v>
      </c>
      <c r="T366" s="1" t="s">
        <v>108</v>
      </c>
      <c r="U366" s="1" t="s">
        <v>109</v>
      </c>
    </row>
    <row r="367" spans="1:21" ht="26.25" x14ac:dyDescent="0.25">
      <c r="A367" s="3" t="s">
        <v>464</v>
      </c>
      <c r="B367" s="2" t="s">
        <v>465</v>
      </c>
      <c r="C367" s="13" t="s">
        <v>151</v>
      </c>
      <c r="D367" s="14" t="s">
        <v>1388</v>
      </c>
      <c r="E367" s="13"/>
      <c r="F367" s="13"/>
      <c r="G367" s="13"/>
      <c r="H367" s="13"/>
      <c r="I367" s="13"/>
      <c r="J367" s="13" t="s">
        <v>1477</v>
      </c>
      <c r="K367" s="6" t="str">
        <f>HYPERLINK("http://explorer.natureserve.org/servlet/NatureServe?searchSpeciesUid=ELEMENT_GLOBAL.2.115061")</f>
        <v>http://explorer.natureserve.org/servlet/NatureServe?searchSpeciesUid=ELEMENT_GLOBAL.2.115061</v>
      </c>
      <c r="L367" s="25" t="s">
        <v>89</v>
      </c>
      <c r="M367" s="1" t="s">
        <v>922</v>
      </c>
      <c r="N367" s="1" t="s">
        <v>12</v>
      </c>
      <c r="O367" s="1" t="s">
        <v>32</v>
      </c>
      <c r="P367" s="26"/>
      <c r="Q367" s="1" t="s">
        <v>7</v>
      </c>
      <c r="R367" s="1" t="s">
        <v>8</v>
      </c>
      <c r="S367" s="1" t="s">
        <v>9</v>
      </c>
      <c r="T367" s="1" t="s">
        <v>207</v>
      </c>
      <c r="U367" s="1" t="s">
        <v>463</v>
      </c>
    </row>
    <row r="368" spans="1:21" ht="26.25" x14ac:dyDescent="0.25">
      <c r="A368" s="3" t="s">
        <v>601</v>
      </c>
      <c r="B368" s="2" t="s">
        <v>602</v>
      </c>
      <c r="C368" s="13" t="s">
        <v>1405</v>
      </c>
      <c r="D368" s="14"/>
      <c r="E368" s="13" t="s">
        <v>1372</v>
      </c>
      <c r="F368" s="13" t="s">
        <v>1405</v>
      </c>
      <c r="G368" s="13"/>
      <c r="H368" s="13" t="s">
        <v>1405</v>
      </c>
      <c r="I368" s="13"/>
      <c r="J368" s="13" t="s">
        <v>1474</v>
      </c>
      <c r="K368" s="6" t="s">
        <v>1254</v>
      </c>
      <c r="L368" s="25" t="s">
        <v>52</v>
      </c>
      <c r="M368" s="1" t="s">
        <v>914</v>
      </c>
      <c r="N368" s="1" t="s">
        <v>189</v>
      </c>
      <c r="O368" s="1" t="s">
        <v>32</v>
      </c>
      <c r="P368" s="26"/>
      <c r="Q368" s="1" t="s">
        <v>105</v>
      </c>
      <c r="R368" s="1" t="s">
        <v>185</v>
      </c>
      <c r="S368" s="1" t="s">
        <v>200</v>
      </c>
      <c r="T368" s="1" t="s">
        <v>492</v>
      </c>
      <c r="U368" s="1" t="s">
        <v>493</v>
      </c>
    </row>
    <row r="369" spans="1:21" ht="26.25" x14ac:dyDescent="0.25">
      <c r="A369" s="3" t="s">
        <v>366</v>
      </c>
      <c r="B369" s="2" t="s">
        <v>367</v>
      </c>
      <c r="C369" s="13"/>
      <c r="D369" s="14"/>
      <c r="E369" s="13" t="s">
        <v>1372</v>
      </c>
      <c r="F369" s="13" t="s">
        <v>1405</v>
      </c>
      <c r="G369" s="13"/>
      <c r="H369" s="13" t="s">
        <v>1405</v>
      </c>
      <c r="I369" s="13"/>
      <c r="J369" s="13" t="s">
        <v>1474</v>
      </c>
      <c r="K369" s="6" t="s">
        <v>1255</v>
      </c>
      <c r="L369" s="25" t="s">
        <v>62</v>
      </c>
      <c r="M369" s="1" t="s">
        <v>922</v>
      </c>
      <c r="N369" s="1" t="s">
        <v>12</v>
      </c>
      <c r="O369" s="1" t="s">
        <v>32</v>
      </c>
      <c r="P369" s="26"/>
      <c r="Q369" s="1" t="s">
        <v>7</v>
      </c>
      <c r="R369" s="1" t="s">
        <v>8</v>
      </c>
      <c r="S369" s="1" t="s">
        <v>9</v>
      </c>
      <c r="T369" s="1" t="s">
        <v>207</v>
      </c>
      <c r="U369" s="1" t="s">
        <v>365</v>
      </c>
    </row>
    <row r="370" spans="1:21" ht="26.25" x14ac:dyDescent="0.25">
      <c r="A370" s="3" t="s">
        <v>1258</v>
      </c>
      <c r="B370" s="2" t="s">
        <v>1259</v>
      </c>
      <c r="C370" s="13"/>
      <c r="D370" s="14"/>
      <c r="E370" s="13"/>
      <c r="F370" s="13"/>
      <c r="G370" s="13" t="s">
        <v>1391</v>
      </c>
      <c r="H370" s="13"/>
      <c r="I370" s="13"/>
      <c r="J370" s="13" t="s">
        <v>1474</v>
      </c>
      <c r="K370" s="6" t="s">
        <v>1256</v>
      </c>
      <c r="L370" s="25" t="s">
        <v>62</v>
      </c>
      <c r="M370" s="1" t="s">
        <v>914</v>
      </c>
      <c r="N370" s="1" t="s">
        <v>160</v>
      </c>
      <c r="O370" s="1" t="s">
        <v>32</v>
      </c>
      <c r="P370" s="26"/>
      <c r="Q370" s="1" t="s">
        <v>105</v>
      </c>
      <c r="R370" s="1" t="s">
        <v>156</v>
      </c>
      <c r="S370" s="1" t="s">
        <v>157</v>
      </c>
      <c r="T370" s="1" t="s">
        <v>158</v>
      </c>
      <c r="U370" s="1" t="s">
        <v>1257</v>
      </c>
    </row>
    <row r="371" spans="1:21" ht="26.25" x14ac:dyDescent="0.25">
      <c r="A371" s="3" t="s">
        <v>723</v>
      </c>
      <c r="B371" s="2" t="s">
        <v>724</v>
      </c>
      <c r="C371" s="13"/>
      <c r="D371" s="14"/>
      <c r="E371" s="13" t="s">
        <v>1372</v>
      </c>
      <c r="F371" s="13"/>
      <c r="G371" s="13"/>
      <c r="H371" s="13"/>
      <c r="I371" s="13" t="s">
        <v>1405</v>
      </c>
      <c r="J371" s="13" t="s">
        <v>1474</v>
      </c>
      <c r="K371" s="6" t="s">
        <v>1260</v>
      </c>
      <c r="L371" s="25" t="s">
        <v>52</v>
      </c>
      <c r="M371" s="1" t="s">
        <v>914</v>
      </c>
      <c r="N371" s="1" t="s">
        <v>189</v>
      </c>
      <c r="O371" s="1" t="s">
        <v>32</v>
      </c>
      <c r="P371" s="26"/>
      <c r="Q371" s="1" t="s">
        <v>105</v>
      </c>
      <c r="R371" s="1" t="s">
        <v>185</v>
      </c>
      <c r="S371" s="1" t="s">
        <v>200</v>
      </c>
      <c r="T371" s="1" t="s">
        <v>523</v>
      </c>
      <c r="U371" s="1" t="s">
        <v>524</v>
      </c>
    </row>
    <row r="372" spans="1:21" ht="26.25" x14ac:dyDescent="0.25">
      <c r="A372" s="3" t="s">
        <v>525</v>
      </c>
      <c r="B372" s="2" t="s">
        <v>526</v>
      </c>
      <c r="C372" s="13" t="s">
        <v>1387</v>
      </c>
      <c r="D372" s="14"/>
      <c r="E372" s="13" t="s">
        <v>1386</v>
      </c>
      <c r="F372" s="13" t="s">
        <v>1387</v>
      </c>
      <c r="G372" s="13"/>
      <c r="H372" s="13" t="s">
        <v>1387</v>
      </c>
      <c r="I372" s="13"/>
      <c r="J372" s="13" t="s">
        <v>1471</v>
      </c>
      <c r="K372" s="6" t="s">
        <v>1261</v>
      </c>
      <c r="L372" s="25" t="s">
        <v>52</v>
      </c>
      <c r="M372" s="1" t="s">
        <v>914</v>
      </c>
      <c r="N372" s="1" t="s">
        <v>189</v>
      </c>
      <c r="O372" s="1" t="s">
        <v>32</v>
      </c>
      <c r="P372" s="26"/>
      <c r="Q372" s="1" t="s">
        <v>105</v>
      </c>
      <c r="R372" s="1" t="s">
        <v>185</v>
      </c>
      <c r="S372" s="1" t="s">
        <v>200</v>
      </c>
      <c r="T372" s="1" t="s">
        <v>523</v>
      </c>
      <c r="U372" s="1" t="s">
        <v>524</v>
      </c>
    </row>
    <row r="373" spans="1:21" ht="26.25" x14ac:dyDescent="0.25">
      <c r="A373" s="3" t="s">
        <v>1264</v>
      </c>
      <c r="B373" s="2" t="s">
        <v>1265</v>
      </c>
      <c r="C373" s="13"/>
      <c r="D373" s="14"/>
      <c r="E373" s="13"/>
      <c r="F373" s="13"/>
      <c r="G373" s="13" t="s">
        <v>1391</v>
      </c>
      <c r="H373" s="13"/>
      <c r="I373" s="13"/>
      <c r="J373" s="13" t="s">
        <v>1474</v>
      </c>
      <c r="K373" s="6" t="s">
        <v>1262</v>
      </c>
      <c r="L373" s="25" t="s">
        <v>62</v>
      </c>
      <c r="M373" s="1" t="s">
        <v>914</v>
      </c>
      <c r="N373" s="1" t="s">
        <v>257</v>
      </c>
      <c r="O373" s="1" t="s">
        <v>32</v>
      </c>
      <c r="P373" s="26"/>
      <c r="Q373" s="1" t="s">
        <v>105</v>
      </c>
      <c r="R373" s="1" t="s">
        <v>185</v>
      </c>
      <c r="S373" s="1" t="s">
        <v>186</v>
      </c>
      <c r="T373" s="1" t="s">
        <v>670</v>
      </c>
      <c r="U373" s="1" t="s">
        <v>1263</v>
      </c>
    </row>
    <row r="374" spans="1:21" ht="26.25" x14ac:dyDescent="0.25">
      <c r="A374" s="3" t="s">
        <v>766</v>
      </c>
      <c r="B374" s="2" t="s">
        <v>767</v>
      </c>
      <c r="C374" s="13" t="s">
        <v>1405</v>
      </c>
      <c r="D374" s="14"/>
      <c r="E374" s="13" t="s">
        <v>1372</v>
      </c>
      <c r="F374" s="13" t="s">
        <v>1405</v>
      </c>
      <c r="G374" s="13"/>
      <c r="H374" s="13" t="s">
        <v>1405</v>
      </c>
      <c r="I374" s="13" t="s">
        <v>1405</v>
      </c>
      <c r="J374" s="13" t="s">
        <v>1474</v>
      </c>
      <c r="K374" s="6" t="s">
        <v>1266</v>
      </c>
      <c r="L374" s="25" t="s">
        <v>89</v>
      </c>
      <c r="M374" s="1" t="s">
        <v>914</v>
      </c>
      <c r="N374" s="1" t="s">
        <v>189</v>
      </c>
      <c r="O374" s="1" t="s">
        <v>32</v>
      </c>
      <c r="P374" s="26"/>
      <c r="Q374" s="1" t="s">
        <v>105</v>
      </c>
      <c r="R374" s="1" t="s">
        <v>185</v>
      </c>
      <c r="S374" s="1" t="s">
        <v>186</v>
      </c>
      <c r="T374" s="1" t="s">
        <v>419</v>
      </c>
      <c r="U374" s="1" t="s">
        <v>420</v>
      </c>
    </row>
    <row r="375" spans="1:21" ht="26.25" x14ac:dyDescent="0.25">
      <c r="A375" s="3" t="s">
        <v>794</v>
      </c>
      <c r="B375" s="2" t="s">
        <v>795</v>
      </c>
      <c r="C375" s="13"/>
      <c r="D375" s="14"/>
      <c r="E375" s="13" t="s">
        <v>1379</v>
      </c>
      <c r="F375" s="13"/>
      <c r="G375" s="13"/>
      <c r="H375" s="13"/>
      <c r="I375" s="13"/>
      <c r="J375" s="29" t="s">
        <v>1470</v>
      </c>
      <c r="K375" s="6" t="s">
        <v>1267</v>
      </c>
      <c r="L375" s="25" t="s">
        <v>15</v>
      </c>
      <c r="M375" s="1" t="s">
        <v>922</v>
      </c>
      <c r="N375" s="1" t="s">
        <v>21</v>
      </c>
      <c r="O375" s="1" t="s">
        <v>32</v>
      </c>
      <c r="P375" s="26"/>
      <c r="Q375" s="1" t="s">
        <v>7</v>
      </c>
      <c r="R375" s="1" t="s">
        <v>63</v>
      </c>
      <c r="S375" s="1" t="s">
        <v>177</v>
      </c>
      <c r="T375" s="1" t="s">
        <v>178</v>
      </c>
      <c r="U375" s="1" t="s">
        <v>179</v>
      </c>
    </row>
    <row r="376" spans="1:21" ht="26.25" x14ac:dyDescent="0.25">
      <c r="A376" s="3" t="s">
        <v>432</v>
      </c>
      <c r="B376" s="2" t="s">
        <v>433</v>
      </c>
      <c r="C376" s="13"/>
      <c r="D376" s="14"/>
      <c r="E376" s="13" t="s">
        <v>1379</v>
      </c>
      <c r="F376" s="13"/>
      <c r="G376" s="13"/>
      <c r="H376" s="13"/>
      <c r="I376" s="13"/>
      <c r="J376" s="29" t="s">
        <v>1470</v>
      </c>
      <c r="K376" s="6" t="s">
        <v>1268</v>
      </c>
      <c r="L376" s="25" t="s">
        <v>15</v>
      </c>
      <c r="M376" s="1" t="s">
        <v>922</v>
      </c>
      <c r="N376" s="1" t="s">
        <v>21</v>
      </c>
      <c r="O376" s="1" t="s">
        <v>32</v>
      </c>
      <c r="P376" s="26"/>
      <c r="Q376" s="1" t="s">
        <v>7</v>
      </c>
      <c r="R376" s="1" t="s">
        <v>63</v>
      </c>
      <c r="S376" s="1" t="s">
        <v>177</v>
      </c>
      <c r="T376" s="1" t="s">
        <v>178</v>
      </c>
      <c r="U376" s="1" t="s">
        <v>179</v>
      </c>
    </row>
    <row r="377" spans="1:21" ht="26.25" x14ac:dyDescent="0.25">
      <c r="A377" s="3" t="s">
        <v>283</v>
      </c>
      <c r="B377" s="2" t="s">
        <v>284</v>
      </c>
      <c r="C377" s="13" t="s">
        <v>151</v>
      </c>
      <c r="D377" s="14"/>
      <c r="E377" s="13" t="s">
        <v>1372</v>
      </c>
      <c r="F377" s="13" t="s">
        <v>151</v>
      </c>
      <c r="G377" s="13"/>
      <c r="H377" s="13" t="s">
        <v>151</v>
      </c>
      <c r="I377" s="13"/>
      <c r="J377" s="13" t="s">
        <v>1474</v>
      </c>
      <c r="K377" s="6" t="s">
        <v>1269</v>
      </c>
      <c r="L377" s="25" t="s">
        <v>15</v>
      </c>
      <c r="M377" s="1" t="s">
        <v>922</v>
      </c>
      <c r="N377" s="1" t="s">
        <v>21</v>
      </c>
      <c r="O377" s="1" t="s">
        <v>32</v>
      </c>
      <c r="P377" s="26"/>
      <c r="Q377" s="1" t="s">
        <v>7</v>
      </c>
      <c r="R377" s="1" t="s">
        <v>63</v>
      </c>
      <c r="S377" s="1" t="s">
        <v>177</v>
      </c>
      <c r="T377" s="1" t="s">
        <v>178</v>
      </c>
      <c r="U377" s="1" t="s">
        <v>179</v>
      </c>
    </row>
    <row r="378" spans="1:21" ht="26.25" x14ac:dyDescent="0.25">
      <c r="A378" s="3" t="s">
        <v>1271</v>
      </c>
      <c r="B378" s="2" t="s">
        <v>1272</v>
      </c>
      <c r="C378" s="13"/>
      <c r="D378" s="14"/>
      <c r="E378" s="13"/>
      <c r="F378" s="13"/>
      <c r="G378" s="13" t="s">
        <v>1380</v>
      </c>
      <c r="H378" s="13"/>
      <c r="I378" s="13"/>
      <c r="J378" s="13" t="s">
        <v>1477</v>
      </c>
      <c r="K378" s="6" t="s">
        <v>1270</v>
      </c>
      <c r="L378" s="25" t="s">
        <v>777</v>
      </c>
      <c r="M378" s="1" t="s">
        <v>914</v>
      </c>
      <c r="N378" s="1" t="s">
        <v>189</v>
      </c>
      <c r="O378" s="1" t="s">
        <v>32</v>
      </c>
      <c r="P378" s="26"/>
      <c r="Q378" s="1" t="s">
        <v>105</v>
      </c>
      <c r="R378" s="1" t="s">
        <v>185</v>
      </c>
      <c r="S378" s="1" t="s">
        <v>200</v>
      </c>
      <c r="T378" s="1" t="s">
        <v>918</v>
      </c>
      <c r="U378" s="1" t="s">
        <v>919</v>
      </c>
    </row>
    <row r="379" spans="1:21" ht="26.25" x14ac:dyDescent="0.25">
      <c r="A379" s="7" t="s">
        <v>1274</v>
      </c>
      <c r="B379" s="8" t="s">
        <v>1275</v>
      </c>
      <c r="C379" s="13"/>
      <c r="D379" s="14"/>
      <c r="E379" s="13"/>
      <c r="F379" s="13" t="s">
        <v>1381</v>
      </c>
      <c r="G379" s="13"/>
      <c r="H379" s="13"/>
      <c r="I379" s="13"/>
      <c r="J379" s="13" t="s">
        <v>1473</v>
      </c>
      <c r="K379" s="6" t="s">
        <v>1273</v>
      </c>
      <c r="L379" s="25" t="s">
        <v>52</v>
      </c>
      <c r="M379" s="1" t="s">
        <v>914</v>
      </c>
      <c r="N379" s="1" t="s">
        <v>160</v>
      </c>
      <c r="O379" s="1" t="s">
        <v>32</v>
      </c>
      <c r="P379" s="26"/>
      <c r="Q379" s="1" t="s">
        <v>105</v>
      </c>
      <c r="R379" s="1" t="s">
        <v>156</v>
      </c>
      <c r="S379" s="1" t="s">
        <v>157</v>
      </c>
      <c r="T379" s="1" t="s">
        <v>158</v>
      </c>
      <c r="U379" s="1" t="s">
        <v>159</v>
      </c>
    </row>
    <row r="380" spans="1:21" ht="26.25" x14ac:dyDescent="0.25">
      <c r="A380" s="3" t="s">
        <v>174</v>
      </c>
      <c r="B380" s="2" t="s">
        <v>175</v>
      </c>
      <c r="C380" s="13" t="s">
        <v>1382</v>
      </c>
      <c r="D380" s="13" t="s">
        <v>1382</v>
      </c>
      <c r="E380" s="13" t="s">
        <v>1383</v>
      </c>
      <c r="F380" s="13" t="s">
        <v>1382</v>
      </c>
      <c r="G380" s="13" t="s">
        <v>1382</v>
      </c>
      <c r="H380" s="13" t="s">
        <v>1382</v>
      </c>
      <c r="I380" s="13" t="s">
        <v>1382</v>
      </c>
      <c r="J380" s="13" t="s">
        <v>1473</v>
      </c>
      <c r="K380" s="6" t="str">
        <f>HYPERLINK("http://explorer.natureserve.org/servlet/NatureServe?searchSpeciesUid=ELEMENT_GLOBAL.2.100734")</f>
        <v>http://explorer.natureserve.org/servlet/NatureServe?searchSpeciesUid=ELEMENT_GLOBAL.2.100734</v>
      </c>
      <c r="L380" s="25" t="s">
        <v>62</v>
      </c>
      <c r="M380" s="1" t="s">
        <v>915</v>
      </c>
      <c r="N380" s="1" t="s">
        <v>59</v>
      </c>
      <c r="O380" s="1" t="s">
        <v>32</v>
      </c>
      <c r="P380" s="26"/>
      <c r="Q380" s="1" t="s">
        <v>7</v>
      </c>
      <c r="R380" s="1" t="s">
        <v>55</v>
      </c>
      <c r="S380" s="1" t="s">
        <v>56</v>
      </c>
      <c r="T380" s="1" t="s">
        <v>172</v>
      </c>
      <c r="U380" s="1" t="s">
        <v>173</v>
      </c>
    </row>
    <row r="381" spans="1:21" ht="26.25" x14ac:dyDescent="0.25">
      <c r="A381" s="3" t="s">
        <v>447</v>
      </c>
      <c r="B381" s="2" t="s">
        <v>448</v>
      </c>
      <c r="C381" s="13"/>
      <c r="D381" s="14"/>
      <c r="E381" s="13" t="s">
        <v>1386</v>
      </c>
      <c r="F381" s="13"/>
      <c r="G381" s="13"/>
      <c r="H381" s="13"/>
      <c r="I381" s="13"/>
      <c r="J381" s="13" t="s">
        <v>1471</v>
      </c>
      <c r="K381" s="6" t="s">
        <v>1276</v>
      </c>
      <c r="L381" s="25" t="s">
        <v>52</v>
      </c>
      <c r="M381" s="1" t="s">
        <v>922</v>
      </c>
      <c r="N381" s="1" t="s">
        <v>12</v>
      </c>
      <c r="O381" s="1" t="s">
        <v>32</v>
      </c>
      <c r="P381" s="26"/>
      <c r="Q381" s="1" t="s">
        <v>7</v>
      </c>
      <c r="R381" s="1" t="s">
        <v>8</v>
      </c>
      <c r="S381" s="1" t="s">
        <v>9</v>
      </c>
      <c r="T381" s="1" t="s">
        <v>48</v>
      </c>
      <c r="U381" s="1" t="s">
        <v>148</v>
      </c>
    </row>
    <row r="382" spans="1:21" ht="26.25" x14ac:dyDescent="0.25">
      <c r="A382" s="3" t="s">
        <v>506</v>
      </c>
      <c r="B382" s="2" t="s">
        <v>507</v>
      </c>
      <c r="C382" s="13" t="s">
        <v>1365</v>
      </c>
      <c r="D382" s="14" t="s">
        <v>1392</v>
      </c>
      <c r="E382" s="14" t="s">
        <v>1392</v>
      </c>
      <c r="F382" s="13"/>
      <c r="G382" s="14" t="s">
        <v>1392</v>
      </c>
      <c r="H382" s="13"/>
      <c r="I382" s="13"/>
      <c r="J382" s="29" t="s">
        <v>1470</v>
      </c>
      <c r="K382" s="6" t="str">
        <f>HYPERLINK("http://explorer.natureserve.org/servlet/NatureServe?searchSpeciesUid=ELEMENT_GLOBAL.2.158697")</f>
        <v>http://explorer.natureserve.org/servlet/NatureServe?searchSpeciesUid=ELEMENT_GLOBAL.2.158697</v>
      </c>
      <c r="L382" s="25" t="s">
        <v>62</v>
      </c>
      <c r="M382" s="1" t="s">
        <v>914</v>
      </c>
      <c r="N382" s="1" t="s">
        <v>189</v>
      </c>
      <c r="O382" s="1" t="s">
        <v>68</v>
      </c>
      <c r="P382" s="26"/>
      <c r="Q382" s="1" t="s">
        <v>105</v>
      </c>
      <c r="R382" s="1" t="s">
        <v>185</v>
      </c>
      <c r="S382" s="1" t="s">
        <v>200</v>
      </c>
      <c r="T382" s="1" t="s">
        <v>504</v>
      </c>
      <c r="U382" s="1" t="s">
        <v>505</v>
      </c>
    </row>
    <row r="383" spans="1:21" ht="26.25" x14ac:dyDescent="0.25">
      <c r="A383" s="3" t="s">
        <v>1278</v>
      </c>
      <c r="B383" s="2" t="s">
        <v>1278</v>
      </c>
      <c r="C383" s="13"/>
      <c r="D383" s="14"/>
      <c r="E383" s="13"/>
      <c r="F383" s="13"/>
      <c r="G383" s="13" t="s">
        <v>1380</v>
      </c>
      <c r="H383" s="13"/>
      <c r="I383" s="13"/>
      <c r="J383" s="13" t="s">
        <v>1477</v>
      </c>
      <c r="K383" s="6" t="s">
        <v>1277</v>
      </c>
      <c r="L383" s="25" t="s">
        <v>1279</v>
      </c>
      <c r="M383" s="1" t="s">
        <v>914</v>
      </c>
      <c r="N383" s="1" t="s">
        <v>189</v>
      </c>
      <c r="O383" s="1" t="s">
        <v>68</v>
      </c>
      <c r="P383" s="26"/>
      <c r="Q383" s="1" t="s">
        <v>105</v>
      </c>
      <c r="R383" s="1" t="s">
        <v>185</v>
      </c>
      <c r="S383" s="1" t="s">
        <v>200</v>
      </c>
      <c r="T383" s="1" t="s">
        <v>504</v>
      </c>
      <c r="U383" s="1" t="s">
        <v>505</v>
      </c>
    </row>
    <row r="384" spans="1:21" ht="26.25" x14ac:dyDescent="0.25">
      <c r="A384" s="3" t="s">
        <v>341</v>
      </c>
      <c r="B384" s="2" t="s">
        <v>342</v>
      </c>
      <c r="C384" s="13" t="s">
        <v>1376</v>
      </c>
      <c r="D384" s="14" t="s">
        <v>1385</v>
      </c>
      <c r="E384" s="14" t="s">
        <v>1385</v>
      </c>
      <c r="F384" s="14" t="s">
        <v>1385</v>
      </c>
      <c r="G384" s="14" t="s">
        <v>1385</v>
      </c>
      <c r="H384" s="14" t="s">
        <v>1385</v>
      </c>
      <c r="I384" s="14" t="s">
        <v>1385</v>
      </c>
      <c r="J384" s="13" t="s">
        <v>1471</v>
      </c>
      <c r="K384" s="6" t="str">
        <f>HYPERLINK("http://explorer.natureserve.org/servlet/NatureServe?searchSpeciesUid=ELEMENT_GLOBAL.2.144597")</f>
        <v>http://explorer.natureserve.org/servlet/NatureServe?searchSpeciesUid=ELEMENT_GLOBAL.2.144597</v>
      </c>
      <c r="L384" s="25" t="s">
        <v>89</v>
      </c>
      <c r="M384" s="1" t="s">
        <v>914</v>
      </c>
      <c r="N384" s="1" t="s">
        <v>252</v>
      </c>
      <c r="O384" s="1" t="s">
        <v>32</v>
      </c>
      <c r="P384" s="27"/>
      <c r="Q384" s="1" t="s">
        <v>105</v>
      </c>
      <c r="R384" s="1" t="s">
        <v>185</v>
      </c>
      <c r="S384" s="1" t="s">
        <v>200</v>
      </c>
      <c r="T384" s="1" t="s">
        <v>250</v>
      </c>
      <c r="U384" s="1" t="s">
        <v>251</v>
      </c>
    </row>
    <row r="385" spans="1:21" ht="26.25" x14ac:dyDescent="0.25">
      <c r="A385" s="7" t="s">
        <v>1280</v>
      </c>
      <c r="B385" s="8" t="s">
        <v>1281</v>
      </c>
      <c r="C385" s="13" t="s">
        <v>1368</v>
      </c>
      <c r="D385" s="13" t="s">
        <v>1368</v>
      </c>
      <c r="E385" s="13" t="s">
        <v>1368</v>
      </c>
      <c r="F385" s="13" t="s">
        <v>1368</v>
      </c>
      <c r="G385" s="13"/>
      <c r="H385" s="13"/>
      <c r="I385" s="13"/>
      <c r="J385" s="13" t="s">
        <v>1474</v>
      </c>
      <c r="K385" s="6" t="str">
        <f>HYPERLINK("http://explorer.natureserve.org/servlet/NatureServe?searchSpeciesUid=ELEMENT_GLOBAL.2.155679")</f>
        <v>http://explorer.natureserve.org/servlet/NatureServe?searchSpeciesUid=ELEMENT_GLOBAL.2.155679</v>
      </c>
      <c r="L385" s="25" t="s">
        <v>62</v>
      </c>
      <c r="M385" s="1" t="s">
        <v>914</v>
      </c>
      <c r="N385" s="1" t="s">
        <v>252</v>
      </c>
      <c r="O385" s="1" t="s">
        <v>32</v>
      </c>
      <c r="P385" s="26" t="s">
        <v>53</v>
      </c>
      <c r="Q385" s="1" t="s">
        <v>105</v>
      </c>
      <c r="R385" s="1" t="s">
        <v>185</v>
      </c>
      <c r="S385" s="1" t="s">
        <v>200</v>
      </c>
      <c r="T385" s="1" t="s">
        <v>250</v>
      </c>
      <c r="U385" s="1" t="s">
        <v>251</v>
      </c>
    </row>
    <row r="386" spans="1:21" ht="26.25" x14ac:dyDescent="0.25">
      <c r="A386" s="3" t="s">
        <v>458</v>
      </c>
      <c r="B386" s="2" t="s">
        <v>459</v>
      </c>
      <c r="C386" s="13" t="s">
        <v>1389</v>
      </c>
      <c r="D386" s="14" t="s">
        <v>1423</v>
      </c>
      <c r="E386" s="14" t="s">
        <v>1423</v>
      </c>
      <c r="F386" s="14" t="s">
        <v>1423</v>
      </c>
      <c r="G386" s="14" t="s">
        <v>1423</v>
      </c>
      <c r="H386" s="14" t="s">
        <v>1423</v>
      </c>
      <c r="I386" s="14" t="s">
        <v>1423</v>
      </c>
      <c r="J386" s="13" t="s">
        <v>1473</v>
      </c>
      <c r="K386" s="6" t="str">
        <f>HYPERLINK("http://explorer.natureserve.org/servlet/NatureServe?searchSpeciesUid=ELEMENT_GLOBAL.2.102068")</f>
        <v>http://explorer.natureserve.org/servlet/NatureServe?searchSpeciesUid=ELEMENT_GLOBAL.2.102068</v>
      </c>
      <c r="L386" s="25" t="s">
        <v>89</v>
      </c>
      <c r="M386" s="1" t="s">
        <v>915</v>
      </c>
      <c r="N386" s="1" t="s">
        <v>59</v>
      </c>
      <c r="O386" s="1" t="s">
        <v>32</v>
      </c>
      <c r="P386" s="26"/>
      <c r="Q386" s="1" t="s">
        <v>7</v>
      </c>
      <c r="R386" s="1" t="s">
        <v>55</v>
      </c>
      <c r="S386" s="1" t="s">
        <v>56</v>
      </c>
      <c r="T386" s="1" t="s">
        <v>57</v>
      </c>
      <c r="U386" s="1" t="s">
        <v>236</v>
      </c>
    </row>
    <row r="387" spans="1:21" ht="26.25" x14ac:dyDescent="0.25">
      <c r="A387" s="3" t="s">
        <v>237</v>
      </c>
      <c r="B387" s="2" t="s">
        <v>238</v>
      </c>
      <c r="C387" s="13" t="s">
        <v>176</v>
      </c>
      <c r="D387" s="14" t="s">
        <v>929</v>
      </c>
      <c r="E387" s="13" t="s">
        <v>929</v>
      </c>
      <c r="F387" s="13" t="s">
        <v>929</v>
      </c>
      <c r="G387" s="13" t="s">
        <v>929</v>
      </c>
      <c r="H387" s="13" t="s">
        <v>929</v>
      </c>
      <c r="I387" s="13" t="s">
        <v>929</v>
      </c>
      <c r="J387" s="13" t="s">
        <v>1473</v>
      </c>
      <c r="K387" s="6" t="str">
        <f>HYPERLINK("http://explorer.natureserve.org/servlet/NatureServe?searchSpeciesUid=ELEMENT_GLOBAL.2.105701")</f>
        <v>http://explorer.natureserve.org/servlet/NatureServe?searchSpeciesUid=ELEMENT_GLOBAL.2.105701</v>
      </c>
      <c r="L387" s="25" t="s">
        <v>62</v>
      </c>
      <c r="M387" s="1" t="s">
        <v>915</v>
      </c>
      <c r="N387" s="1" t="s">
        <v>59</v>
      </c>
      <c r="O387" s="1" t="s">
        <v>32</v>
      </c>
      <c r="P387" s="26"/>
      <c r="Q387" s="1" t="s">
        <v>7</v>
      </c>
      <c r="R387" s="1" t="s">
        <v>55</v>
      </c>
      <c r="S387" s="1" t="s">
        <v>56</v>
      </c>
      <c r="T387" s="1" t="s">
        <v>57</v>
      </c>
      <c r="U387" s="1" t="s">
        <v>236</v>
      </c>
    </row>
    <row r="388" spans="1:21" ht="26.25" x14ac:dyDescent="0.25">
      <c r="A388" s="3" t="s">
        <v>1283</v>
      </c>
      <c r="B388" s="2" t="s">
        <v>1284</v>
      </c>
      <c r="C388" s="13"/>
      <c r="D388" s="14"/>
      <c r="E388" s="13"/>
      <c r="F388" s="13"/>
      <c r="G388" s="13" t="s">
        <v>1380</v>
      </c>
      <c r="H388" s="13"/>
      <c r="I388" s="13"/>
      <c r="J388" s="13" t="s">
        <v>1477</v>
      </c>
      <c r="K388" s="6" t="s">
        <v>1282</v>
      </c>
      <c r="L388" s="25" t="s">
        <v>62</v>
      </c>
      <c r="M388" s="1" t="s">
        <v>914</v>
      </c>
      <c r="N388" s="1" t="s">
        <v>189</v>
      </c>
      <c r="O388" s="1" t="s">
        <v>32</v>
      </c>
      <c r="P388" s="26"/>
      <c r="Q388" s="1" t="s">
        <v>105</v>
      </c>
      <c r="R388" s="1" t="s">
        <v>185</v>
      </c>
      <c r="S388" s="1" t="s">
        <v>200</v>
      </c>
      <c r="T388" s="1" t="s">
        <v>504</v>
      </c>
      <c r="U388" s="1" t="s">
        <v>1007</v>
      </c>
    </row>
    <row r="389" spans="1:21" ht="26.25" x14ac:dyDescent="0.25">
      <c r="A389" s="3" t="s">
        <v>694</v>
      </c>
      <c r="B389" s="2" t="s">
        <v>695</v>
      </c>
      <c r="C389" s="13" t="s">
        <v>1365</v>
      </c>
      <c r="D389" s="13" t="s">
        <v>1439</v>
      </c>
      <c r="E389" s="13" t="s">
        <v>1416</v>
      </c>
      <c r="F389" s="13"/>
      <c r="G389" s="13"/>
      <c r="H389" s="13"/>
      <c r="I389" s="13" t="s">
        <v>1416</v>
      </c>
      <c r="J389" s="29" t="s">
        <v>1470</v>
      </c>
      <c r="K389" s="6" t="str">
        <f>HYPERLINK("http://explorer.natureserve.org/servlet/NatureServe?searchSpeciesUid=ELEMENT_GLOBAL.2.116088")</f>
        <v>http://explorer.natureserve.org/servlet/NatureServe?searchSpeciesUid=ELEMENT_GLOBAL.2.116088</v>
      </c>
      <c r="L389" s="25" t="s">
        <v>116</v>
      </c>
      <c r="M389" s="1" t="s">
        <v>922</v>
      </c>
      <c r="N389" s="1" t="s">
        <v>67</v>
      </c>
      <c r="O389" s="1" t="s">
        <v>68</v>
      </c>
      <c r="P389" s="26"/>
      <c r="Q389" s="1" t="s">
        <v>7</v>
      </c>
      <c r="R389" s="1" t="s">
        <v>63</v>
      </c>
      <c r="S389" s="1" t="s">
        <v>64</v>
      </c>
      <c r="T389" s="1" t="s">
        <v>65</v>
      </c>
      <c r="U389" s="1" t="s">
        <v>66</v>
      </c>
    </row>
    <row r="390" spans="1:21" ht="26.25" x14ac:dyDescent="0.25">
      <c r="A390" s="3" t="s">
        <v>468</v>
      </c>
      <c r="B390" s="2" t="s">
        <v>469</v>
      </c>
      <c r="C390" s="13" t="s">
        <v>1376</v>
      </c>
      <c r="D390" s="14" t="s">
        <v>1385</v>
      </c>
      <c r="E390" s="13"/>
      <c r="F390" s="13"/>
      <c r="G390" s="13"/>
      <c r="H390" s="13"/>
      <c r="I390" s="13"/>
      <c r="J390" s="13" t="s">
        <v>1471</v>
      </c>
      <c r="K390" s="6" t="str">
        <f>HYPERLINK("http://explorer.natureserve.org/servlet/NatureServe?searchSpeciesUid=ELEMENT_GLOBAL.2.129889")</f>
        <v>http://explorer.natureserve.org/servlet/NatureServe?searchSpeciesUid=ELEMENT_GLOBAL.2.129889</v>
      </c>
      <c r="L390" s="25" t="s">
        <v>374</v>
      </c>
      <c r="M390" s="1" t="s">
        <v>914</v>
      </c>
      <c r="N390" s="1" t="s">
        <v>189</v>
      </c>
      <c r="O390" s="1" t="s">
        <v>32</v>
      </c>
      <c r="P390" s="26"/>
      <c r="Q390" s="1" t="s">
        <v>105</v>
      </c>
      <c r="R390" s="1" t="s">
        <v>185</v>
      </c>
      <c r="S390" s="1" t="s">
        <v>200</v>
      </c>
      <c r="T390" s="1" t="s">
        <v>466</v>
      </c>
      <c r="U390" s="1" t="s">
        <v>467</v>
      </c>
    </row>
    <row r="391" spans="1:21" ht="26.25" x14ac:dyDescent="0.25">
      <c r="A391" s="3" t="s">
        <v>598</v>
      </c>
      <c r="B391" s="2" t="s">
        <v>599</v>
      </c>
      <c r="C391" s="13" t="s">
        <v>1387</v>
      </c>
      <c r="D391" s="14"/>
      <c r="E391" s="13" t="s">
        <v>1386</v>
      </c>
      <c r="F391" s="13" t="s">
        <v>1387</v>
      </c>
      <c r="G391" s="13"/>
      <c r="H391" s="13" t="s">
        <v>1387</v>
      </c>
      <c r="I391" s="13"/>
      <c r="J391" s="13" t="s">
        <v>1471</v>
      </c>
      <c r="K391" s="6" t="s">
        <v>1285</v>
      </c>
      <c r="L391" s="25" t="s">
        <v>600</v>
      </c>
      <c r="M391" s="1" t="s">
        <v>915</v>
      </c>
      <c r="N391" s="1" t="s">
        <v>171</v>
      </c>
      <c r="O391" s="1" t="s">
        <v>32</v>
      </c>
      <c r="P391" s="26"/>
      <c r="Q391" s="1" t="s">
        <v>7</v>
      </c>
      <c r="R391" s="1" t="s">
        <v>55</v>
      </c>
      <c r="S391" s="1" t="s">
        <v>326</v>
      </c>
      <c r="T391" s="1" t="s">
        <v>327</v>
      </c>
      <c r="U391" s="1" t="s">
        <v>387</v>
      </c>
    </row>
    <row r="392" spans="1:21" ht="26.25" x14ac:dyDescent="0.25">
      <c r="A392" s="3" t="s">
        <v>410</v>
      </c>
      <c r="B392" s="2" t="s">
        <v>411</v>
      </c>
      <c r="C392" s="13"/>
      <c r="D392" s="14" t="s">
        <v>1388</v>
      </c>
      <c r="E392" s="13"/>
      <c r="F392" s="13"/>
      <c r="G392" s="13" t="s">
        <v>151</v>
      </c>
      <c r="H392" s="13"/>
      <c r="I392" s="13"/>
      <c r="J392" s="13" t="s">
        <v>1477</v>
      </c>
      <c r="K392" s="6" t="str">
        <f>HYPERLINK("http://explorer.natureserve.org/servlet/NatureServe?searchSpeciesUid=ELEMENT_GLOBAL.2.114486")</f>
        <v>http://explorer.natureserve.org/servlet/NatureServe?searchSpeciesUid=ELEMENT_GLOBAL.2.114486</v>
      </c>
      <c r="L392" s="25" t="s">
        <v>89</v>
      </c>
      <c r="M392" s="1" t="s">
        <v>922</v>
      </c>
      <c r="N392" s="1" t="s">
        <v>12</v>
      </c>
      <c r="O392" s="1" t="s">
        <v>32</v>
      </c>
      <c r="P392" s="26"/>
      <c r="Q392" s="1" t="s">
        <v>7</v>
      </c>
      <c r="R392" s="1" t="s">
        <v>8</v>
      </c>
      <c r="S392" s="1" t="s">
        <v>9</v>
      </c>
      <c r="T392" s="1" t="s">
        <v>207</v>
      </c>
      <c r="U392" s="1" t="s">
        <v>409</v>
      </c>
    </row>
  </sheetData>
  <autoFilter ref="A3:U392"/>
  <mergeCells count="3">
    <mergeCell ref="C2:I2"/>
    <mergeCell ref="M2:N2"/>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P75"/>
  <sheetViews>
    <sheetView topLeftCell="A55" workbookViewId="0">
      <selection activeCell="M38" sqref="M38"/>
    </sheetView>
  </sheetViews>
  <sheetFormatPr defaultRowHeight="15" x14ac:dyDescent="0.25"/>
  <sheetData>
    <row r="23" spans="16:16" x14ac:dyDescent="0.25">
      <c r="P23" t="s">
        <v>1347</v>
      </c>
    </row>
    <row r="37" spans="1:1" x14ac:dyDescent="0.25">
      <c r="A37" t="s">
        <v>908</v>
      </c>
    </row>
    <row r="60" spans="16:16" x14ac:dyDescent="0.25">
      <c r="P60" t="s">
        <v>909</v>
      </c>
    </row>
    <row r="75" spans="2:2" x14ac:dyDescent="0.25">
      <c r="B75" t="s">
        <v>1294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54"/>
  <sheetViews>
    <sheetView topLeftCell="A28" workbookViewId="0">
      <selection activeCell="A33" sqref="A33"/>
    </sheetView>
  </sheetViews>
  <sheetFormatPr defaultRowHeight="15" x14ac:dyDescent="0.25"/>
  <cols>
    <col min="1" max="1" width="123.140625" customWidth="1"/>
    <col min="2" max="2" width="108.140625" style="12" customWidth="1"/>
  </cols>
  <sheetData>
    <row r="2" spans="1:16384" ht="75" x14ac:dyDescent="0.25">
      <c r="A2" s="11" t="s">
        <v>1355</v>
      </c>
      <c r="B2" s="12" t="s">
        <v>151</v>
      </c>
    </row>
    <row r="3" spans="1:16384" x14ac:dyDescent="0.25">
      <c r="A3" s="11"/>
    </row>
    <row r="4" spans="1:16384" x14ac:dyDescent="0.25">
      <c r="A4" s="9" t="s">
        <v>1295</v>
      </c>
    </row>
    <row r="5" spans="1:16384" x14ac:dyDescent="0.25">
      <c r="A5" s="11" t="s">
        <v>1334</v>
      </c>
    </row>
    <row r="6" spans="1:16384" x14ac:dyDescent="0.25">
      <c r="A6" s="12" t="s">
        <v>1330</v>
      </c>
    </row>
    <row r="7" spans="1:16384" x14ac:dyDescent="0.25">
      <c r="A7" s="11" t="s">
        <v>1331</v>
      </c>
    </row>
    <row r="8" spans="1:16384" x14ac:dyDescent="0.25">
      <c r="A8" s="12" t="s">
        <v>1332</v>
      </c>
    </row>
    <row r="9" spans="1:16384" x14ac:dyDescent="0.25">
      <c r="A9" s="11" t="s">
        <v>1333</v>
      </c>
    </row>
    <row r="10" spans="1:16384" ht="18" customHeight="1" x14ac:dyDescent="0.25">
      <c r="A10" s="12" t="s">
        <v>1335</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c r="XFC10" s="11"/>
      <c r="XFD10" s="11"/>
    </row>
    <row r="11" spans="1:16384" x14ac:dyDescent="0.25">
      <c r="A11" s="11" t="s">
        <v>1336</v>
      </c>
    </row>
    <row r="12" spans="1:16384" x14ac:dyDescent="0.25">
      <c r="A12" s="11" t="s">
        <v>1440</v>
      </c>
      <c r="B12"/>
    </row>
    <row r="13" spans="1:16384" x14ac:dyDescent="0.25">
      <c r="A13" s="11" t="s">
        <v>1337</v>
      </c>
    </row>
    <row r="14" spans="1:16384" x14ac:dyDescent="0.25">
      <c r="A14" s="12" t="s">
        <v>1356</v>
      </c>
      <c r="B14" s="11" t="s">
        <v>151</v>
      </c>
    </row>
    <row r="16" spans="1:16384" x14ac:dyDescent="0.25">
      <c r="A16" s="9" t="s">
        <v>1296</v>
      </c>
      <c r="K16" s="19"/>
    </row>
    <row r="17" spans="1:2" ht="30" x14ac:dyDescent="0.25">
      <c r="A17" s="48" t="s">
        <v>1464</v>
      </c>
      <c r="B17" s="12" t="s">
        <v>151</v>
      </c>
    </row>
    <row r="18" spans="1:2" ht="30" x14ac:dyDescent="0.25">
      <c r="A18" s="48" t="s">
        <v>1465</v>
      </c>
    </row>
    <row r="19" spans="1:2" ht="30" x14ac:dyDescent="0.25">
      <c r="A19" s="49" t="s">
        <v>1466</v>
      </c>
    </row>
    <row r="20" spans="1:2" ht="45" x14ac:dyDescent="0.25">
      <c r="A20" s="48" t="s">
        <v>1467</v>
      </c>
    </row>
    <row r="21" spans="1:2" ht="30" x14ac:dyDescent="0.25">
      <c r="A21" s="48" t="s">
        <v>1468</v>
      </c>
    </row>
    <row r="23" spans="1:2" x14ac:dyDescent="0.25">
      <c r="A23" s="9" t="s">
        <v>1461</v>
      </c>
      <c r="B23"/>
    </row>
    <row r="24" spans="1:2" ht="15" customHeight="1" x14ac:dyDescent="0.25">
      <c r="A24" s="41" t="s">
        <v>1442</v>
      </c>
      <c r="B24"/>
    </row>
    <row r="25" spans="1:2" ht="15" customHeight="1" x14ac:dyDescent="0.25">
      <c r="A25" s="40" t="s">
        <v>1444</v>
      </c>
      <c r="B25"/>
    </row>
    <row r="26" spans="1:2" ht="15" customHeight="1" x14ac:dyDescent="0.25">
      <c r="A26" s="40" t="s">
        <v>1443</v>
      </c>
      <c r="B26"/>
    </row>
    <row r="27" spans="1:2" ht="15" customHeight="1" x14ac:dyDescent="0.25">
      <c r="A27" s="40" t="s">
        <v>1441</v>
      </c>
      <c r="B27"/>
    </row>
    <row r="28" spans="1:2" ht="15" customHeight="1" x14ac:dyDescent="0.25">
      <c r="A28" s="40" t="s">
        <v>1445</v>
      </c>
      <c r="B28"/>
    </row>
    <row r="29" spans="1:2" ht="15" customHeight="1" x14ac:dyDescent="0.25">
      <c r="A29" s="40" t="s">
        <v>1446</v>
      </c>
      <c r="B29"/>
    </row>
    <row r="30" spans="1:2" ht="15" customHeight="1" x14ac:dyDescent="0.25">
      <c r="A30" s="40"/>
      <c r="B30"/>
    </row>
    <row r="31" spans="1:2" ht="64.5" x14ac:dyDescent="0.25">
      <c r="A31" s="42" t="s">
        <v>1447</v>
      </c>
    </row>
    <row r="32" spans="1:2" ht="75" x14ac:dyDescent="0.25">
      <c r="A32" s="42" t="s">
        <v>1449</v>
      </c>
    </row>
    <row r="33" spans="1:2" ht="75" x14ac:dyDescent="0.25">
      <c r="A33" s="11" t="s">
        <v>1460</v>
      </c>
    </row>
    <row r="34" spans="1:2" x14ac:dyDescent="0.25">
      <c r="A34" s="9"/>
    </row>
    <row r="35" spans="1:2" x14ac:dyDescent="0.25">
      <c r="A35" s="10" t="s">
        <v>1297</v>
      </c>
    </row>
    <row r="36" spans="1:2" x14ac:dyDescent="0.25">
      <c r="A36" s="9" t="s">
        <v>1298</v>
      </c>
      <c r="B36"/>
    </row>
    <row r="37" spans="1:2" ht="30" x14ac:dyDescent="0.25">
      <c r="A37" s="11" t="s">
        <v>1328</v>
      </c>
      <c r="B37"/>
    </row>
    <row r="38" spans="1:2" ht="75" x14ac:dyDescent="0.25">
      <c r="A38" s="11" t="s">
        <v>1469</v>
      </c>
      <c r="B38"/>
    </row>
    <row r="39" spans="1:2" ht="30" x14ac:dyDescent="0.25">
      <c r="A39" s="11" t="s">
        <v>1450</v>
      </c>
      <c r="B39"/>
    </row>
    <row r="40" spans="1:2" ht="90" x14ac:dyDescent="0.25">
      <c r="A40" s="11" t="s">
        <v>1451</v>
      </c>
      <c r="B40"/>
    </row>
    <row r="41" spans="1:2" ht="30" x14ac:dyDescent="0.25">
      <c r="A41" s="11" t="s">
        <v>1299</v>
      </c>
      <c r="B41"/>
    </row>
    <row r="42" spans="1:2" ht="45" x14ac:dyDescent="0.25">
      <c r="A42" s="11" t="s">
        <v>1452</v>
      </c>
      <c r="B42"/>
    </row>
    <row r="43" spans="1:2" ht="30" x14ac:dyDescent="0.25">
      <c r="A43" s="11" t="s">
        <v>1300</v>
      </c>
      <c r="B43"/>
    </row>
    <row r="44" spans="1:2" ht="45" x14ac:dyDescent="0.25">
      <c r="A44" s="11" t="s">
        <v>1301</v>
      </c>
      <c r="B44"/>
    </row>
    <row r="45" spans="1:2" x14ac:dyDescent="0.25">
      <c r="A45" s="11"/>
    </row>
    <row r="46" spans="1:2" x14ac:dyDescent="0.25">
      <c r="A46" s="10" t="s">
        <v>1302</v>
      </c>
    </row>
    <row r="47" spans="1:2" x14ac:dyDescent="0.25">
      <c r="A47" s="11" t="s">
        <v>151</v>
      </c>
    </row>
    <row r="48" spans="1:2" x14ac:dyDescent="0.25">
      <c r="A48" s="11" t="s">
        <v>151</v>
      </c>
    </row>
    <row r="49" spans="1:1" ht="24.75" customHeight="1" x14ac:dyDescent="0.25">
      <c r="A49" s="10" t="s">
        <v>1303</v>
      </c>
    </row>
    <row r="50" spans="1:1" ht="37.5" customHeight="1" x14ac:dyDescent="0.25">
      <c r="A50" s="20" t="s">
        <v>1304</v>
      </c>
    </row>
    <row r="51" spans="1:1" ht="36.75" customHeight="1" x14ac:dyDescent="0.25">
      <c r="A51" s="20" t="s">
        <v>1305</v>
      </c>
    </row>
    <row r="52" spans="1:1" ht="28.5" customHeight="1" x14ac:dyDescent="0.25">
      <c r="A52" s="20" t="s">
        <v>1306</v>
      </c>
    </row>
    <row r="53" spans="1:1" ht="37.5" customHeight="1" x14ac:dyDescent="0.25">
      <c r="A53" s="20" t="s">
        <v>1329</v>
      </c>
    </row>
    <row r="54" spans="1:1" ht="41.25" customHeight="1" x14ac:dyDescent="0.25">
      <c r="A54" s="20" t="s">
        <v>1307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workbookViewId="0">
      <selection activeCell="A50" sqref="A50"/>
    </sheetView>
  </sheetViews>
  <sheetFormatPr defaultRowHeight="15" x14ac:dyDescent="0.25"/>
  <cols>
    <col min="1" max="1" width="98.85546875" style="45" customWidth="1"/>
  </cols>
  <sheetData>
    <row r="1" spans="1:1" x14ac:dyDescent="0.25">
      <c r="A1" s="44" t="s">
        <v>151</v>
      </c>
    </row>
    <row r="2" spans="1:1" ht="32.25" x14ac:dyDescent="0.25">
      <c r="A2" s="11" t="s">
        <v>1359</v>
      </c>
    </row>
    <row r="3" spans="1:1" ht="47.25" x14ac:dyDescent="0.25">
      <c r="A3" s="11" t="s">
        <v>1357</v>
      </c>
    </row>
    <row r="4" spans="1:1" ht="62.25" x14ac:dyDescent="0.25">
      <c r="A4" s="11" t="s">
        <v>1361</v>
      </c>
    </row>
    <row r="5" spans="1:1" ht="32.25" x14ac:dyDescent="0.25">
      <c r="A5" s="11" t="s">
        <v>1358</v>
      </c>
    </row>
    <row r="6" spans="1:1" ht="32.25" x14ac:dyDescent="0.25">
      <c r="A6" s="11" t="s">
        <v>1362</v>
      </c>
    </row>
    <row r="7" spans="1:1" ht="32.25" x14ac:dyDescent="0.25">
      <c r="A7" s="11" t="s">
        <v>1360</v>
      </c>
    </row>
    <row r="8" spans="1:1" ht="30" x14ac:dyDescent="0.25">
      <c r="A8" s="11" t="s">
        <v>1308</v>
      </c>
    </row>
    <row r="10" spans="1:1" x14ac:dyDescent="0.25">
      <c r="A10" s="18" t="s">
        <v>1288</v>
      </c>
    </row>
    <row r="11" spans="1:1" x14ac:dyDescent="0.25">
      <c r="A11" s="45" t="s">
        <v>1456</v>
      </c>
    </row>
    <row r="12" spans="1:1" ht="45" x14ac:dyDescent="0.25">
      <c r="A12" s="46" t="str">
        <f>HYPERLINK("http://applcc.org/research/climate-change-vulnerability-group/final-narrative-climate-change-vulnerability-assessment/ccva-source-materials/climate-change-vulnerability-assessment-of-species-of-concern-in-west-virginia/at_download/file","http://applcc.org/research/climate-change-vulnerability-group/final-narrative-climate-change-vulnerability-assessment/ccva-source-materials/climate-change-vulnerability-assessment-of-species-of-concern-in-west-virginia/at_download/file")</f>
        <v>http://applcc.org/research/climate-change-vulnerability-group/final-narrative-climate-change-vulnerability-assessment/ccva-source-materials/climate-change-vulnerability-assessment-of-species-of-concern-in-west-virginia/at_download/file</v>
      </c>
    </row>
    <row r="13" spans="1:1" x14ac:dyDescent="0.25">
      <c r="A13" s="46"/>
    </row>
    <row r="14" spans="1:1" x14ac:dyDescent="0.25">
      <c r="A14" s="45" t="s">
        <v>1457</v>
      </c>
    </row>
    <row r="15" spans="1:1" x14ac:dyDescent="0.25">
      <c r="A15" s="46" t="s">
        <v>1455</v>
      </c>
    </row>
    <row r="16" spans="1:1" x14ac:dyDescent="0.25">
      <c r="A16" s="46"/>
    </row>
    <row r="17" spans="1:1" x14ac:dyDescent="0.25">
      <c r="A17" s="45" t="s">
        <v>1458</v>
      </c>
    </row>
    <row r="18" spans="1:1" x14ac:dyDescent="0.25">
      <c r="A18" s="46" t="s">
        <v>1459</v>
      </c>
    </row>
    <row r="19" spans="1:1" x14ac:dyDescent="0.25">
      <c r="A19" s="46"/>
    </row>
    <row r="20" spans="1:1" x14ac:dyDescent="0.25">
      <c r="A20" s="45" t="s">
        <v>1287</v>
      </c>
    </row>
    <row r="21" spans="1:1" ht="30" x14ac:dyDescent="0.25">
      <c r="A21" s="46" t="str">
        <f>HYPERLINK("http://www.natureserve.org/biodiversity-science/publications/vulnerability-risk-species-climate-change-new-york")</f>
        <v>http://www.natureserve.org/biodiversity-science/publications/vulnerability-risk-species-climate-change-new-york</v>
      </c>
    </row>
    <row r="22" spans="1:1" x14ac:dyDescent="0.25">
      <c r="A22" s="46"/>
    </row>
    <row r="23" spans="1:1" x14ac:dyDescent="0.25">
      <c r="A23" s="45" t="s">
        <v>1286</v>
      </c>
    </row>
    <row r="24" spans="1:1" ht="30" x14ac:dyDescent="0.25">
      <c r="A24" s="46" t="str">
        <f>HYPERLINK("http://www.natureserve.org/biodiversity-science/publications/guidelines-using-natureserve-climate-change-vulnerability-index-0")</f>
        <v>http://www.natureserve.org/biodiversity-science/publications/guidelines-using-natureserve-climate-change-vulnerability-index-0</v>
      </c>
    </row>
    <row r="26" spans="1:1" x14ac:dyDescent="0.25">
      <c r="A26" s="45" t="s">
        <v>1453</v>
      </c>
    </row>
    <row r="27" spans="1:1" ht="45" x14ac:dyDescent="0.25">
      <c r="A27" s="43" t="s">
        <v>1454</v>
      </c>
    </row>
    <row r="29" spans="1:1" x14ac:dyDescent="0.25">
      <c r="A29" s="45" t="s">
        <v>1462</v>
      </c>
    </row>
    <row r="30" spans="1:1" x14ac:dyDescent="0.25">
      <c r="A30" s="43" t="s">
        <v>1463</v>
      </c>
    </row>
  </sheetData>
  <hyperlinks>
    <hyperlink ref="A27" r:id="rId1"/>
    <hyperlink ref="A30" r:id="rI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Assessments</vt:lpstr>
      <vt:lpstr>MAPS</vt:lpstr>
      <vt:lpstr>Instructions</vt:lpstr>
      <vt:lpstr>References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Lesley Sneddon</dc:creator>
  <cp:lastModifiedBy>Lesley Sneddon</cp:lastModifiedBy>
  <dcterms:created xsi:type="dcterms:W3CDTF">2015-07-09T14:16:01Z</dcterms:created>
  <dcterms:modified xsi:type="dcterms:W3CDTF">2015-11-03T18:31:46Z</dcterms:modified>
</cp:coreProperties>
</file>